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shiba\OneDrive\Dokumen\PERSKRIPSIAN\"/>
    </mc:Choice>
  </mc:AlternateContent>
  <xr:revisionPtr revIDLastSave="0" documentId="13_ncr:1_{F0D07E6A-5F1F-4142-880B-77B3CF3E7882}" xr6:coauthVersionLast="46" xr6:coauthVersionMax="46" xr10:uidLastSave="{00000000-0000-0000-0000-000000000000}"/>
  <bookViews>
    <workbookView xWindow="-120" yWindow="-120" windowWidth="20730" windowHeight="11310" activeTab="6" xr2:uid="{82D685F7-B325-4740-9AA2-EA06D423AC5D}"/>
  </bookViews>
  <sheets>
    <sheet name="VIT C" sheetId="1" r:id="rId1"/>
    <sheet name="Total Asam" sheetId="3" r:id="rId2"/>
    <sheet name="Antioksidan" sheetId="11" r:id="rId3"/>
    <sheet name="Kurva Antioksidan" sheetId="5" r:id="rId4"/>
    <sheet name="L" sheetId="6" r:id="rId5"/>
    <sheet name="a" sheetId="8" r:id="rId6"/>
    <sheet name="b" sheetId="9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8" i="3" l="1"/>
  <c r="AF17" i="3"/>
  <c r="AE17" i="3"/>
  <c r="AD17" i="3"/>
  <c r="AF16" i="3"/>
  <c r="AE16" i="3"/>
  <c r="AD16" i="3"/>
  <c r="AF15" i="3"/>
  <c r="AE15" i="3"/>
  <c r="AD15" i="3"/>
  <c r="U17" i="3" l="1"/>
  <c r="U16" i="3"/>
  <c r="S23" i="1"/>
  <c r="S22" i="1"/>
  <c r="S21" i="1"/>
  <c r="S19" i="1"/>
  <c r="S18" i="1"/>
  <c r="S17" i="1"/>
  <c r="X16" i="3"/>
  <c r="X17" i="3"/>
  <c r="X18" i="3"/>
  <c r="X20" i="3"/>
  <c r="X21" i="3"/>
  <c r="X22" i="3"/>
  <c r="W22" i="3"/>
  <c r="W21" i="3"/>
  <c r="W20" i="3"/>
  <c r="V4" i="3"/>
  <c r="V5" i="3"/>
  <c r="V6" i="3"/>
  <c r="V7" i="3"/>
  <c r="V8" i="3"/>
  <c r="V9" i="3"/>
  <c r="V10" i="3"/>
  <c r="V11" i="3"/>
  <c r="V3" i="3"/>
  <c r="R4" i="3"/>
  <c r="R5" i="3"/>
  <c r="R6" i="3"/>
  <c r="R7" i="3"/>
  <c r="R8" i="3"/>
  <c r="R9" i="3"/>
  <c r="R10" i="3"/>
  <c r="R11" i="3"/>
  <c r="R12" i="3"/>
  <c r="V8" i="1"/>
  <c r="V9" i="1"/>
  <c r="V10" i="1"/>
  <c r="V11" i="1"/>
  <c r="V12" i="1"/>
  <c r="V7" i="1"/>
  <c r="V6" i="1"/>
  <c r="V5" i="1"/>
  <c r="V4" i="1"/>
  <c r="U12" i="1"/>
  <c r="Q14" i="1"/>
  <c r="U11" i="1" s="1"/>
  <c r="U8" i="1"/>
  <c r="U7" i="1"/>
  <c r="U6" i="1"/>
  <c r="U5" i="1"/>
  <c r="U4" i="1"/>
  <c r="T4" i="1"/>
  <c r="T10" i="1"/>
  <c r="T9" i="1"/>
  <c r="T8" i="1"/>
  <c r="T7" i="1"/>
  <c r="T6" i="1"/>
  <c r="T5" i="1"/>
  <c r="R14" i="3"/>
  <c r="Q12" i="1"/>
  <c r="Q11" i="1"/>
  <c r="Q10" i="1"/>
  <c r="Q9" i="1"/>
  <c r="Q8" i="1"/>
  <c r="Q7" i="1"/>
  <c r="Q6" i="1"/>
  <c r="Q5" i="1"/>
  <c r="Q4" i="1"/>
  <c r="U9" i="1" l="1"/>
  <c r="U10" i="1"/>
  <c r="L21" i="1"/>
  <c r="L20" i="1"/>
  <c r="L19" i="1"/>
  <c r="L18" i="1"/>
  <c r="L17" i="1"/>
  <c r="K22" i="1"/>
  <c r="K21" i="1"/>
  <c r="K20" i="1"/>
  <c r="K19" i="1"/>
  <c r="K18" i="1"/>
  <c r="K17" i="1"/>
  <c r="J21" i="1"/>
  <c r="J22" i="1"/>
  <c r="J20" i="1"/>
  <c r="J18" i="1"/>
  <c r="J17" i="1"/>
  <c r="G23" i="9" l="1"/>
  <c r="G22" i="9"/>
  <c r="G21" i="9"/>
  <c r="G20" i="9"/>
  <c r="G19" i="9"/>
  <c r="S16" i="8"/>
  <c r="S6" i="6"/>
  <c r="G6" i="9" l="1"/>
  <c r="K5" i="11"/>
  <c r="M10" i="9"/>
  <c r="M10" i="8"/>
  <c r="N15" i="3"/>
  <c r="M11" i="6"/>
  <c r="F22" i="11"/>
  <c r="K4" i="11"/>
  <c r="K10" i="11"/>
  <c r="C24" i="11"/>
  <c r="E12" i="3"/>
  <c r="E11" i="3"/>
  <c r="E10" i="3"/>
  <c r="E9" i="3"/>
  <c r="E8" i="3"/>
  <c r="E7" i="3"/>
  <c r="E6" i="3"/>
  <c r="E5" i="3"/>
  <c r="E4" i="3"/>
  <c r="J19" i="11"/>
  <c r="J18" i="11"/>
  <c r="J17" i="11"/>
  <c r="J15" i="11"/>
  <c r="J14" i="11"/>
  <c r="J13" i="11"/>
  <c r="P4" i="11"/>
  <c r="P5" i="11"/>
  <c r="P6" i="11"/>
  <c r="P7" i="11"/>
  <c r="P8" i="11"/>
  <c r="O8" i="11"/>
  <c r="O7" i="11"/>
  <c r="O6" i="11"/>
  <c r="O5" i="11"/>
  <c r="O4" i="11"/>
  <c r="L7" i="11" l="1"/>
  <c r="L6" i="11"/>
  <c r="L5" i="11"/>
  <c r="L4" i="11"/>
  <c r="K9" i="11"/>
  <c r="L9" i="11" s="1"/>
  <c r="K8" i="11"/>
  <c r="L8" i="11" s="1"/>
  <c r="K7" i="11"/>
  <c r="K6" i="11"/>
  <c r="D23" i="11"/>
  <c r="E23" i="11"/>
  <c r="C23" i="11"/>
  <c r="G21" i="11"/>
  <c r="G20" i="11"/>
  <c r="G19" i="11"/>
  <c r="F20" i="11"/>
  <c r="F21" i="11"/>
  <c r="F19" i="11"/>
  <c r="D22" i="11"/>
  <c r="E22" i="11"/>
  <c r="C22" i="11"/>
  <c r="E21" i="11"/>
  <c r="D21" i="11"/>
  <c r="C21" i="11"/>
  <c r="E20" i="11"/>
  <c r="D20" i="11"/>
  <c r="C20" i="11"/>
  <c r="E19" i="11"/>
  <c r="D19" i="11"/>
  <c r="C19" i="11"/>
  <c r="G6" i="11"/>
  <c r="G7" i="11"/>
  <c r="G8" i="11"/>
  <c r="G9" i="11"/>
  <c r="G10" i="11"/>
  <c r="G11" i="11"/>
  <c r="G12" i="11"/>
  <c r="G13" i="11"/>
  <c r="G5" i="11"/>
  <c r="F14" i="11"/>
  <c r="F6" i="11"/>
  <c r="F7" i="11"/>
  <c r="F8" i="11"/>
  <c r="F9" i="11"/>
  <c r="F10" i="11"/>
  <c r="F11" i="11"/>
  <c r="F12" i="11"/>
  <c r="F13" i="11"/>
  <c r="F5" i="11"/>
  <c r="D14" i="11"/>
  <c r="E14" i="11"/>
  <c r="C14" i="11"/>
  <c r="M163" i="5"/>
  <c r="M161" i="5"/>
  <c r="M160" i="5"/>
  <c r="M159" i="5"/>
  <c r="M158" i="5"/>
  <c r="M157" i="5"/>
  <c r="M156" i="5"/>
  <c r="M142" i="5"/>
  <c r="M140" i="5"/>
  <c r="M139" i="5"/>
  <c r="M138" i="5"/>
  <c r="M137" i="5"/>
  <c r="M136" i="5"/>
  <c r="M135" i="5"/>
  <c r="M119" i="5"/>
  <c r="M117" i="5"/>
  <c r="M116" i="5"/>
  <c r="M115" i="5"/>
  <c r="M114" i="5"/>
  <c r="M113" i="5"/>
  <c r="M112" i="5"/>
  <c r="V120" i="5"/>
  <c r="V118" i="5"/>
  <c r="V117" i="5"/>
  <c r="V116" i="5"/>
  <c r="V115" i="5"/>
  <c r="V114" i="5"/>
  <c r="V113" i="5"/>
  <c r="V98" i="5"/>
  <c r="V96" i="5"/>
  <c r="V95" i="5"/>
  <c r="V94" i="5"/>
  <c r="V93" i="5"/>
  <c r="V92" i="5"/>
  <c r="V91" i="5"/>
  <c r="V77" i="5"/>
  <c r="V75" i="5"/>
  <c r="V74" i="5"/>
  <c r="V73" i="5"/>
  <c r="V72" i="5"/>
  <c r="V71" i="5"/>
  <c r="V70" i="5"/>
  <c r="V54" i="5"/>
  <c r="V52" i="5"/>
  <c r="V51" i="5"/>
  <c r="V50" i="5"/>
  <c r="V49" i="5"/>
  <c r="V48" i="5"/>
  <c r="V47" i="5"/>
  <c r="V32" i="5"/>
  <c r="V30" i="5"/>
  <c r="V29" i="5"/>
  <c r="V28" i="5"/>
  <c r="V27" i="5"/>
  <c r="V26" i="5"/>
  <c r="V25" i="5"/>
  <c r="V11" i="5"/>
  <c r="V9" i="5"/>
  <c r="V8" i="5"/>
  <c r="V7" i="5"/>
  <c r="V6" i="5"/>
  <c r="V5" i="5"/>
  <c r="V4" i="5"/>
  <c r="M108" i="5"/>
  <c r="M106" i="5"/>
  <c r="M105" i="5"/>
  <c r="M104" i="5"/>
  <c r="M103" i="5"/>
  <c r="M102" i="5"/>
  <c r="M101" i="5"/>
  <c r="M94" i="5"/>
  <c r="M92" i="5"/>
  <c r="M91" i="5"/>
  <c r="M90" i="5"/>
  <c r="M89" i="5"/>
  <c r="M88" i="5"/>
  <c r="M87" i="5"/>
  <c r="M82" i="5"/>
  <c r="M80" i="5"/>
  <c r="M79" i="5"/>
  <c r="M78" i="5"/>
  <c r="M77" i="5"/>
  <c r="M76" i="5"/>
  <c r="M75" i="5"/>
  <c r="M71" i="5"/>
  <c r="M65" i="5"/>
  <c r="M69" i="5"/>
  <c r="M68" i="5"/>
  <c r="M67" i="5"/>
  <c r="M66" i="5"/>
  <c r="M64" i="5"/>
  <c r="M59" i="5"/>
  <c r="M57" i="5"/>
  <c r="M56" i="5"/>
  <c r="M55" i="5"/>
  <c r="M54" i="5"/>
  <c r="M53" i="5"/>
  <c r="M52" i="5"/>
  <c r="M48" i="5"/>
  <c r="M46" i="5"/>
  <c r="M45" i="5"/>
  <c r="M44" i="5"/>
  <c r="M43" i="5"/>
  <c r="M42" i="5"/>
  <c r="M41" i="5"/>
  <c r="M35" i="5"/>
  <c r="M33" i="5"/>
  <c r="M32" i="5"/>
  <c r="M31" i="5"/>
  <c r="M30" i="5"/>
  <c r="M29" i="5"/>
  <c r="M28" i="5"/>
  <c r="M22" i="5"/>
  <c r="M20" i="5"/>
  <c r="M19" i="5"/>
  <c r="M18" i="5"/>
  <c r="M17" i="5"/>
  <c r="M16" i="5"/>
  <c r="M15" i="5"/>
  <c r="M11" i="5"/>
  <c r="M4" i="5"/>
  <c r="M9" i="5"/>
  <c r="M8" i="5"/>
  <c r="M7" i="5"/>
  <c r="M6" i="5"/>
  <c r="M5" i="5"/>
  <c r="C11" i="5"/>
  <c r="M8" i="11" l="1"/>
  <c r="N8" i="11" s="1"/>
  <c r="M4" i="11"/>
  <c r="N4" i="11" s="1"/>
  <c r="M7" i="11"/>
  <c r="N7" i="11" s="1"/>
  <c r="M6" i="11"/>
  <c r="N6" i="11" s="1"/>
  <c r="M5" i="11"/>
  <c r="N5" i="11" s="1"/>
  <c r="C120" i="5"/>
  <c r="C107" i="5"/>
  <c r="C118" i="5"/>
  <c r="C117" i="5"/>
  <c r="C116" i="5"/>
  <c r="C115" i="5"/>
  <c r="C114" i="5"/>
  <c r="C113" i="5"/>
  <c r="C94" i="5"/>
  <c r="C105" i="5"/>
  <c r="C104" i="5"/>
  <c r="C103" i="5"/>
  <c r="C102" i="5"/>
  <c r="C101" i="5"/>
  <c r="C100" i="5"/>
  <c r="C79" i="5"/>
  <c r="C92" i="5"/>
  <c r="C91" i="5"/>
  <c r="C90" i="5"/>
  <c r="C89" i="5"/>
  <c r="C88" i="5"/>
  <c r="C87" i="5"/>
  <c r="C66" i="5"/>
  <c r="C77" i="5"/>
  <c r="C76" i="5"/>
  <c r="C75" i="5"/>
  <c r="C74" i="5"/>
  <c r="C73" i="5"/>
  <c r="C72" i="5"/>
  <c r="C52" i="5"/>
  <c r="C64" i="5"/>
  <c r="C63" i="5"/>
  <c r="C62" i="5"/>
  <c r="C61" i="5"/>
  <c r="C60" i="5"/>
  <c r="C45" i="5"/>
  <c r="C59" i="5"/>
  <c r="C38" i="5"/>
  <c r="C50" i="5"/>
  <c r="C49" i="5"/>
  <c r="C48" i="5"/>
  <c r="C47" i="5"/>
  <c r="C46" i="5"/>
  <c r="C24" i="5"/>
  <c r="C36" i="5"/>
  <c r="C35" i="5"/>
  <c r="C34" i="5"/>
  <c r="C33" i="5"/>
  <c r="C32" i="5"/>
  <c r="C17" i="5"/>
  <c r="C4" i="5"/>
  <c r="C31" i="5"/>
  <c r="C22" i="5"/>
  <c r="C21" i="5"/>
  <c r="C20" i="5"/>
  <c r="C19" i="5"/>
  <c r="C18" i="5"/>
  <c r="C5" i="5"/>
  <c r="C9" i="5"/>
  <c r="C8" i="5"/>
  <c r="C7" i="5"/>
  <c r="C6" i="5"/>
  <c r="L18" i="9" l="1"/>
  <c r="N18" i="9" s="1"/>
  <c r="L19" i="9"/>
  <c r="N20" i="9" s="1"/>
  <c r="L20" i="9"/>
  <c r="L22" i="9"/>
  <c r="N22" i="9" s="1"/>
  <c r="L23" i="9"/>
  <c r="N24" i="9" s="1"/>
  <c r="L24" i="9"/>
  <c r="N23" i="9" s="1"/>
  <c r="O19" i="3"/>
  <c r="O18" i="3"/>
  <c r="O17" i="3"/>
  <c r="O16" i="3"/>
  <c r="O15" i="3"/>
  <c r="N19" i="3"/>
  <c r="N18" i="3"/>
  <c r="N17" i="3"/>
  <c r="N16" i="3"/>
  <c r="K8" i="3"/>
  <c r="J8" i="3"/>
  <c r="I8" i="3"/>
  <c r="M8" i="3" s="1"/>
  <c r="U18" i="3" s="1"/>
  <c r="W18" i="3" s="1"/>
  <c r="K7" i="3"/>
  <c r="J7" i="3"/>
  <c r="I7" i="3"/>
  <c r="K6" i="3"/>
  <c r="J6" i="3"/>
  <c r="I6" i="3"/>
  <c r="F5" i="3"/>
  <c r="F6" i="3"/>
  <c r="F7" i="3"/>
  <c r="F8" i="3"/>
  <c r="F9" i="3"/>
  <c r="F10" i="3"/>
  <c r="F11" i="3"/>
  <c r="F12" i="3"/>
  <c r="F4" i="3"/>
  <c r="E13" i="3"/>
  <c r="I11" i="3" s="1"/>
  <c r="C13" i="3"/>
  <c r="D13" i="3"/>
  <c r="B13" i="3"/>
  <c r="N19" i="9"/>
  <c r="I23" i="9"/>
  <c r="I22" i="9"/>
  <c r="I21" i="9"/>
  <c r="I20" i="9"/>
  <c r="I19" i="9"/>
  <c r="H23" i="9"/>
  <c r="H22" i="9"/>
  <c r="H21" i="9"/>
  <c r="H20" i="9"/>
  <c r="H19" i="9"/>
  <c r="F23" i="9"/>
  <c r="F22" i="9"/>
  <c r="F21" i="9"/>
  <c r="F20" i="9"/>
  <c r="F19" i="9"/>
  <c r="E24" i="9"/>
  <c r="E23" i="9"/>
  <c r="E22" i="9"/>
  <c r="E21" i="9"/>
  <c r="E20" i="9"/>
  <c r="E19" i="9"/>
  <c r="D24" i="9"/>
  <c r="D25" i="9"/>
  <c r="D23" i="9"/>
  <c r="D22" i="9"/>
  <c r="D21" i="9"/>
  <c r="D20" i="9"/>
  <c r="D19" i="9"/>
  <c r="C15" i="9"/>
  <c r="J12" i="9"/>
  <c r="N8" i="9"/>
  <c r="N9" i="9"/>
  <c r="N7" i="9"/>
  <c r="M8" i="9"/>
  <c r="M9" i="9"/>
  <c r="M7" i="9"/>
  <c r="K11" i="9"/>
  <c r="L11" i="9"/>
  <c r="J11" i="9"/>
  <c r="K10" i="9"/>
  <c r="L10" i="9"/>
  <c r="J10" i="9"/>
  <c r="L9" i="9"/>
  <c r="K9" i="9"/>
  <c r="J9" i="9"/>
  <c r="L8" i="9"/>
  <c r="K8" i="9"/>
  <c r="J8" i="9"/>
  <c r="L7" i="9"/>
  <c r="K7" i="9"/>
  <c r="J7" i="9"/>
  <c r="G7" i="9"/>
  <c r="G8" i="9"/>
  <c r="G9" i="9"/>
  <c r="G10" i="9"/>
  <c r="G11" i="9"/>
  <c r="G12" i="9"/>
  <c r="G13" i="9"/>
  <c r="G14" i="9"/>
  <c r="F15" i="9"/>
  <c r="F7" i="9"/>
  <c r="F8" i="9"/>
  <c r="F9" i="9"/>
  <c r="F10" i="9"/>
  <c r="F11" i="9"/>
  <c r="F12" i="9"/>
  <c r="F13" i="9"/>
  <c r="F14" i="9"/>
  <c r="F6" i="9"/>
  <c r="E15" i="9"/>
  <c r="D15" i="9"/>
  <c r="S22" i="8"/>
  <c r="S20" i="8"/>
  <c r="S18" i="8"/>
  <c r="S17" i="8"/>
  <c r="J9" i="3" l="1"/>
  <c r="L7" i="3"/>
  <c r="L8" i="3"/>
  <c r="M7" i="3"/>
  <c r="L6" i="3"/>
  <c r="J10" i="3"/>
  <c r="U21" i="3" s="1"/>
  <c r="K9" i="3"/>
  <c r="K10" i="3"/>
  <c r="U22" i="3" s="1"/>
  <c r="M6" i="3"/>
  <c r="I10" i="3"/>
  <c r="U20" i="3" s="1"/>
  <c r="I9" i="3"/>
  <c r="J18" i="3" s="1"/>
  <c r="K18" i="3" s="1"/>
  <c r="J17" i="3"/>
  <c r="K17" i="3" s="1"/>
  <c r="J16" i="3"/>
  <c r="J15" i="3"/>
  <c r="K15" i="3" s="1"/>
  <c r="J21" i="3"/>
  <c r="O21" i="1"/>
  <c r="O20" i="1"/>
  <c r="O19" i="1"/>
  <c r="O18" i="1"/>
  <c r="O17" i="1"/>
  <c r="N21" i="1"/>
  <c r="N20" i="1"/>
  <c r="N19" i="1"/>
  <c r="N18" i="1"/>
  <c r="N17" i="1"/>
  <c r="C14" i="1"/>
  <c r="D14" i="1"/>
  <c r="B14" i="1"/>
  <c r="E6" i="1"/>
  <c r="J7" i="1" s="1"/>
  <c r="E7" i="1"/>
  <c r="F7" i="1" s="1"/>
  <c r="E8" i="1"/>
  <c r="I8" i="1" s="1"/>
  <c r="E9" i="1"/>
  <c r="F9" i="1" s="1"/>
  <c r="E10" i="1"/>
  <c r="F10" i="1" s="1"/>
  <c r="E11" i="1"/>
  <c r="F11" i="1" s="1"/>
  <c r="E12" i="1"/>
  <c r="J9" i="1" s="1"/>
  <c r="E13" i="1"/>
  <c r="K9" i="1" s="1"/>
  <c r="E5" i="1"/>
  <c r="I7" i="1" s="1"/>
  <c r="S12" i="6"/>
  <c r="S10" i="6"/>
  <c r="S8" i="6"/>
  <c r="S7" i="6"/>
  <c r="P20" i="8"/>
  <c r="P19" i="8"/>
  <c r="P18" i="8"/>
  <c r="P17" i="8"/>
  <c r="P16" i="8"/>
  <c r="O20" i="8"/>
  <c r="O19" i="8"/>
  <c r="O18" i="8"/>
  <c r="O17" i="8"/>
  <c r="O16" i="8"/>
  <c r="F12" i="1" l="1"/>
  <c r="I9" i="1"/>
  <c r="J8" i="1"/>
  <c r="K7" i="1"/>
  <c r="F5" i="1"/>
  <c r="L9" i="1"/>
  <c r="M9" i="1"/>
  <c r="F13" i="1"/>
  <c r="K8" i="1"/>
  <c r="K11" i="1" s="1"/>
  <c r="K10" i="1"/>
  <c r="I11" i="1"/>
  <c r="M8" i="1"/>
  <c r="I10" i="1"/>
  <c r="L8" i="1"/>
  <c r="F8" i="1"/>
  <c r="J11" i="1"/>
  <c r="L7" i="1"/>
  <c r="J10" i="1"/>
  <c r="M7" i="1"/>
  <c r="E14" i="1"/>
  <c r="I12" i="1" s="1"/>
  <c r="F6" i="1"/>
  <c r="L9" i="3"/>
  <c r="W17" i="3"/>
  <c r="W16" i="3"/>
  <c r="K16" i="3"/>
  <c r="J19" i="3"/>
  <c r="K19" i="3" s="1"/>
  <c r="J20" i="3"/>
  <c r="K20" i="3" s="1"/>
  <c r="L11" i="8"/>
  <c r="J11" i="8"/>
  <c r="L10" i="8"/>
  <c r="J10" i="8"/>
  <c r="N8" i="8"/>
  <c r="N9" i="8"/>
  <c r="M8" i="8"/>
  <c r="M9" i="8"/>
  <c r="L9" i="8"/>
  <c r="K9" i="8"/>
  <c r="J9" i="8"/>
  <c r="L8" i="8"/>
  <c r="K8" i="8"/>
  <c r="J8" i="8"/>
  <c r="L7" i="8"/>
  <c r="J7" i="8"/>
  <c r="L10" i="1" l="1"/>
  <c r="J19" i="1"/>
  <c r="J23" i="1"/>
  <c r="L19" i="3"/>
  <c r="M19" i="3" s="1"/>
  <c r="L16" i="3"/>
  <c r="M16" i="3" s="1"/>
  <c r="L17" i="3"/>
  <c r="M17" i="3" s="1"/>
  <c r="L15" i="3"/>
  <c r="M15" i="3" s="1"/>
  <c r="L18" i="3"/>
  <c r="M18" i="3" s="1"/>
  <c r="G6" i="8"/>
  <c r="G7" i="8"/>
  <c r="G8" i="8"/>
  <c r="G9" i="8"/>
  <c r="G10" i="8"/>
  <c r="G11" i="8"/>
  <c r="G12" i="8"/>
  <c r="G4" i="8"/>
  <c r="F5" i="8"/>
  <c r="K7" i="8" s="1"/>
  <c r="F6" i="8"/>
  <c r="F7" i="8"/>
  <c r="F8" i="8"/>
  <c r="F9" i="8"/>
  <c r="F10" i="8"/>
  <c r="F11" i="8"/>
  <c r="F12" i="8"/>
  <c r="F4" i="8"/>
  <c r="D13" i="8"/>
  <c r="E13" i="8"/>
  <c r="C13" i="8"/>
  <c r="P21" i="6"/>
  <c r="P20" i="6"/>
  <c r="P19" i="6"/>
  <c r="P18" i="6"/>
  <c r="P17" i="6"/>
  <c r="O21" i="6"/>
  <c r="O20" i="6"/>
  <c r="O19" i="6"/>
  <c r="O18" i="6"/>
  <c r="O17" i="6"/>
  <c r="M20" i="1" l="1"/>
  <c r="F13" i="8"/>
  <c r="J12" i="8" s="1"/>
  <c r="K10" i="8"/>
  <c r="K11" i="8"/>
  <c r="S21" i="8" s="1"/>
  <c r="M7" i="8"/>
  <c r="N7" i="8"/>
  <c r="G5" i="8"/>
  <c r="N9" i="6"/>
  <c r="N10" i="6"/>
  <c r="L12" i="6"/>
  <c r="J12" i="6"/>
  <c r="M9" i="6"/>
  <c r="M10" i="6"/>
  <c r="L11" i="6"/>
  <c r="J11" i="6"/>
  <c r="L10" i="6"/>
  <c r="K10" i="6"/>
  <c r="J10" i="6"/>
  <c r="L9" i="6"/>
  <c r="K9" i="6"/>
  <c r="J9" i="6"/>
  <c r="L8" i="6"/>
  <c r="J8" i="6"/>
  <c r="G7" i="6"/>
  <c r="G8" i="6"/>
  <c r="G9" i="6"/>
  <c r="G10" i="6"/>
  <c r="G11" i="6"/>
  <c r="G12" i="6"/>
  <c r="G13" i="6"/>
  <c r="G5" i="6"/>
  <c r="F6" i="6"/>
  <c r="F14" i="6" s="1"/>
  <c r="J13" i="6" s="1"/>
  <c r="F7" i="6"/>
  <c r="F8" i="6"/>
  <c r="F9" i="6"/>
  <c r="F10" i="6"/>
  <c r="F11" i="6"/>
  <c r="F12" i="6"/>
  <c r="F13" i="6"/>
  <c r="F5" i="6"/>
  <c r="D14" i="6"/>
  <c r="E14" i="6"/>
  <c r="C14" i="6"/>
  <c r="M18" i="1" l="1"/>
  <c r="M21" i="1"/>
  <c r="M17" i="1"/>
  <c r="M19" i="1"/>
  <c r="K19" i="8"/>
  <c r="L19" i="8" s="1"/>
  <c r="K22" i="8"/>
  <c r="K18" i="8"/>
  <c r="L18" i="8" s="1"/>
  <c r="K17" i="8"/>
  <c r="K16" i="8"/>
  <c r="L16" i="8" s="1"/>
  <c r="G6" i="6"/>
  <c r="K18" i="6"/>
  <c r="K23" i="6"/>
  <c r="K17" i="6"/>
  <c r="L17" i="6" s="1"/>
  <c r="K8" i="6"/>
  <c r="K20" i="8" l="1"/>
  <c r="L20" i="8" s="1"/>
  <c r="L17" i="8"/>
  <c r="K21" i="8"/>
  <c r="L21" i="8" s="1"/>
  <c r="N8" i="6"/>
  <c r="K12" i="6"/>
  <c r="S11" i="6" s="1"/>
  <c r="M8" i="6"/>
  <c r="K19" i="6" s="1"/>
  <c r="L19" i="6" s="1"/>
  <c r="K11" i="6"/>
  <c r="K20" i="6" s="1"/>
  <c r="L20" i="6" s="1"/>
  <c r="M20" i="6" s="1"/>
  <c r="N20" i="6" s="1"/>
  <c r="K22" i="6"/>
  <c r="L22" i="6" s="1"/>
  <c r="L18" i="6"/>
  <c r="M18" i="6" s="1"/>
  <c r="N18" i="6" s="1"/>
  <c r="M18" i="8" l="1"/>
  <c r="N18" i="8" s="1"/>
  <c r="M17" i="8"/>
  <c r="N17" i="8" s="1"/>
  <c r="M20" i="8"/>
  <c r="N20" i="8" s="1"/>
  <c r="M19" i="8"/>
  <c r="N19" i="8" s="1"/>
  <c r="M16" i="8"/>
  <c r="N16" i="8" s="1"/>
  <c r="M19" i="6"/>
  <c r="N19" i="6" s="1"/>
  <c r="K21" i="6"/>
  <c r="L21" i="6" s="1"/>
  <c r="M21" i="6" s="1"/>
  <c r="N21" i="6" s="1"/>
  <c r="M17" i="6"/>
  <c r="N17" i="6" s="1"/>
</calcChain>
</file>

<file path=xl/sharedStrings.xml><?xml version="1.0" encoding="utf-8"?>
<sst xmlns="http://schemas.openxmlformats.org/spreadsheetml/2006/main" count="574" uniqueCount="115">
  <si>
    <t xml:space="preserve">Perlakuan </t>
  </si>
  <si>
    <t xml:space="preserve">Ulangan </t>
  </si>
  <si>
    <t>I</t>
  </si>
  <si>
    <t>II</t>
  </si>
  <si>
    <t>III</t>
  </si>
  <si>
    <t>Rata2</t>
  </si>
  <si>
    <t>K2L1</t>
  </si>
  <si>
    <t>K2L2</t>
  </si>
  <si>
    <t>K2L3</t>
  </si>
  <si>
    <t>K3L1</t>
  </si>
  <si>
    <t>K3L2</t>
  </si>
  <si>
    <t>K3L3</t>
  </si>
  <si>
    <t>FK</t>
  </si>
  <si>
    <t>SK</t>
  </si>
  <si>
    <t>db</t>
  </si>
  <si>
    <t>JK</t>
  </si>
  <si>
    <t>KT</t>
  </si>
  <si>
    <t>Galat</t>
  </si>
  <si>
    <t>Total</t>
  </si>
  <si>
    <t>TOTAL</t>
  </si>
  <si>
    <t>Tabel Dua Arah</t>
  </si>
  <si>
    <t>L1</t>
  </si>
  <si>
    <t>L2</t>
  </si>
  <si>
    <t>L3</t>
  </si>
  <si>
    <t>K2</t>
  </si>
  <si>
    <t>K3</t>
  </si>
  <si>
    <t>Rerata</t>
  </si>
  <si>
    <t>Tabel Analisa Ragam</t>
  </si>
  <si>
    <t>Kelompok</t>
  </si>
  <si>
    <t>Perlakuan</t>
  </si>
  <si>
    <t>K</t>
  </si>
  <si>
    <t>L</t>
  </si>
  <si>
    <t>F hitung</t>
  </si>
  <si>
    <t>F 0,05</t>
  </si>
  <si>
    <t>F 0,01</t>
  </si>
  <si>
    <t>KxL</t>
  </si>
  <si>
    <t>PENGURUTAN</t>
  </si>
  <si>
    <t>BNJ 5%</t>
  </si>
  <si>
    <t>K1L1</t>
  </si>
  <si>
    <t>K1L3</t>
  </si>
  <si>
    <t>K1L2</t>
  </si>
  <si>
    <t>K1</t>
  </si>
  <si>
    <t>Data Kadar Vitamin C</t>
  </si>
  <si>
    <t>KIL3</t>
  </si>
  <si>
    <t>Ulangan</t>
  </si>
  <si>
    <t xml:space="preserve">Total </t>
  </si>
  <si>
    <t>Rata-rata</t>
  </si>
  <si>
    <t xml:space="preserve">perlakuan </t>
  </si>
  <si>
    <t xml:space="preserve">ulangan </t>
  </si>
  <si>
    <t>total</t>
  </si>
  <si>
    <t>rerata</t>
  </si>
  <si>
    <t xml:space="preserve">total </t>
  </si>
  <si>
    <t>Tabel 2 arah</t>
  </si>
  <si>
    <t xml:space="preserve">Tabel analisa ragam </t>
  </si>
  <si>
    <t>kelompok</t>
  </si>
  <si>
    <t>perlakuan</t>
  </si>
  <si>
    <t>galat</t>
  </si>
  <si>
    <t>AWAL</t>
  </si>
  <si>
    <t>a</t>
  </si>
  <si>
    <t>bnj</t>
  </si>
  <si>
    <t>tn</t>
  </si>
  <si>
    <t>ab</t>
  </si>
  <si>
    <t>b</t>
  </si>
  <si>
    <t>BNJ</t>
  </si>
  <si>
    <t>Notasi</t>
  </si>
  <si>
    <t>b*</t>
  </si>
  <si>
    <t>tabel 2 arah</t>
  </si>
  <si>
    <t>tabel analisa ragam</t>
  </si>
  <si>
    <t>K x L</t>
  </si>
  <si>
    <t>Data Kadar Total Asam</t>
  </si>
  <si>
    <t>Data L*</t>
  </si>
  <si>
    <t>DATA a*</t>
  </si>
  <si>
    <t>F hit</t>
  </si>
  <si>
    <t>konsentrasi</t>
  </si>
  <si>
    <t>inhibisi</t>
  </si>
  <si>
    <t>absorbansi</t>
  </si>
  <si>
    <t>Nilai IC50</t>
  </si>
  <si>
    <t>Sampel K1L2</t>
  </si>
  <si>
    <t>Sampel K1L1</t>
  </si>
  <si>
    <t>PERLAKUAN 1</t>
  </si>
  <si>
    <t>Sampel K1L3</t>
  </si>
  <si>
    <t>Sampel K2L1</t>
  </si>
  <si>
    <t>Sampel K2L2</t>
  </si>
  <si>
    <t>Sampel K2L3</t>
  </si>
  <si>
    <t>Sampel K3L1</t>
  </si>
  <si>
    <t>Sampel K3L2</t>
  </si>
  <si>
    <t>Sampel K3L3</t>
  </si>
  <si>
    <t>PERLAKUAN 2</t>
  </si>
  <si>
    <t>Nilia IC50</t>
  </si>
  <si>
    <t>PERLAKUAN 3</t>
  </si>
  <si>
    <t xml:space="preserve">konsentrasi </t>
  </si>
  <si>
    <t>(perlakuan 3)</t>
  </si>
  <si>
    <t>Antioksidan</t>
  </si>
  <si>
    <t>% Antioksidan</t>
  </si>
  <si>
    <t>L1 (10 menit)</t>
  </si>
  <si>
    <t>L2 (15 menit)</t>
  </si>
  <si>
    <t>L3 (20 menit)</t>
  </si>
  <si>
    <t xml:space="preserve"> </t>
  </si>
  <si>
    <t>c</t>
  </si>
  <si>
    <t>L*</t>
  </si>
  <si>
    <t>a*</t>
  </si>
  <si>
    <t>BNJ 5 %</t>
  </si>
  <si>
    <t>K1 (Iota Karagenan 0,3%)</t>
  </si>
  <si>
    <t>K2 (Iota Karagenan 0,4%)</t>
  </si>
  <si>
    <t>K3 (Iota Karagenan 0,5%)</t>
  </si>
  <si>
    <t>d</t>
  </si>
  <si>
    <t>Total Asam  (%)</t>
  </si>
  <si>
    <t>vitamin C (%)</t>
  </si>
  <si>
    <t>total asam (%)</t>
  </si>
  <si>
    <t>proporsi</t>
  </si>
  <si>
    <t>K1 (konsentrasi iota karagenan 0,3%)</t>
  </si>
  <si>
    <t>K2 (konsentrasi iota karagenan 0,4%)</t>
  </si>
  <si>
    <t>K3 (konsentrasi iota karagenan 0,5%)</t>
  </si>
  <si>
    <t>Lama Pengadukan</t>
  </si>
  <si>
    <t>nilai a*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</si>
</sst>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8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2" borderId="1" xfId="0" applyFont="1" applyFill="1" applyBorder="1"/>
    <xf numFmtId="0" fontId="1" fillId="3" borderId="0" xfId="0" applyFont="1" applyFill="1"/>
    <xf numFmtId="0" fontId="0" fillId="0" borderId="0" xfId="0" applyAlignment="1">
      <alignment horizontal="left"/>
    </xf>
    <xf numFmtId="0" fontId="1" fillId="2" borderId="0" xfId="0" applyFont="1" applyFill="1"/>
    <xf numFmtId="0" fontId="0" fillId="0" borderId="1" xfId="0" applyBorder="1" applyAlignment="1">
      <alignment horizontal="center"/>
    </xf>
    <xf numFmtId="0" fontId="0" fillId="2" borderId="0" xfId="0" applyFill="1"/>
    <xf numFmtId="2" fontId="0" fillId="0" borderId="1" xfId="0" applyNumberFormat="1" applyBorder="1"/>
    <xf numFmtId="2" fontId="1" fillId="0" borderId="1" xfId="0" applyNumberFormat="1" applyFont="1" applyBorder="1"/>
    <xf numFmtId="2" fontId="0" fillId="0" borderId="0" xfId="0" applyNumberFormat="1"/>
    <xf numFmtId="2" fontId="1" fillId="0" borderId="2" xfId="0" applyNumberFormat="1" applyFont="1" applyBorder="1"/>
    <xf numFmtId="2" fontId="1" fillId="3" borderId="0" xfId="0" applyNumberFormat="1" applyFont="1" applyFill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6" borderId="1" xfId="0" applyFont="1" applyFill="1" applyBorder="1"/>
    <xf numFmtId="2" fontId="3" fillId="0" borderId="1" xfId="0" applyNumberFormat="1" applyFont="1" applyBorder="1"/>
    <xf numFmtId="165" fontId="3" fillId="0" borderId="1" xfId="0" applyNumberFormat="1" applyFont="1" applyBorder="1"/>
    <xf numFmtId="0" fontId="3" fillId="2" borderId="0" xfId="0" applyFont="1" applyFill="1"/>
    <xf numFmtId="0" fontId="3" fillId="5" borderId="0" xfId="0" applyFont="1" applyFill="1"/>
    <xf numFmtId="0" fontId="3" fillId="4" borderId="0" xfId="0" applyFont="1" applyFill="1"/>
    <xf numFmtId="2" fontId="3" fillId="0" borderId="0" xfId="0" applyNumberFormat="1" applyFont="1"/>
    <xf numFmtId="0" fontId="3" fillId="0" borderId="3" xfId="0" applyFont="1" applyBorder="1"/>
    <xf numFmtId="164" fontId="0" fillId="0" borderId="1" xfId="0" applyNumberFormat="1" applyBorder="1"/>
    <xf numFmtId="0" fontId="3" fillId="0" borderId="0" xfId="0" applyFont="1" applyAlignment="1">
      <alignment horizontal="center"/>
    </xf>
    <xf numFmtId="164" fontId="0" fillId="0" borderId="0" xfId="0" applyNumberFormat="1"/>
    <xf numFmtId="0" fontId="0" fillId="0" borderId="3" xfId="0" applyBorder="1"/>
    <xf numFmtId="164" fontId="0" fillId="0" borderId="3" xfId="0" applyNumberFormat="1" applyBorder="1"/>
    <xf numFmtId="0" fontId="0" fillId="0" borderId="4" xfId="0" applyBorder="1"/>
    <xf numFmtId="0" fontId="0" fillId="8" borderId="0" xfId="0" applyFill="1"/>
    <xf numFmtId="2" fontId="0" fillId="0" borderId="3" xfId="0" applyNumberFormat="1" applyBorder="1"/>
    <xf numFmtId="0" fontId="0" fillId="0" borderId="5" xfId="0" applyBorder="1"/>
    <xf numFmtId="0" fontId="0" fillId="0" borderId="4" xfId="0" applyBorder="1" applyAlignment="1">
      <alignment horizontal="center"/>
    </xf>
    <xf numFmtId="2" fontId="3" fillId="0" borderId="3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2" fontId="0" fillId="0" borderId="5" xfId="0" applyNumberFormat="1" applyBorder="1"/>
    <xf numFmtId="0" fontId="3" fillId="0" borderId="5" xfId="0" applyFont="1" applyBorder="1"/>
    <xf numFmtId="2" fontId="3" fillId="0" borderId="5" xfId="0" applyNumberFormat="1" applyFont="1" applyBorder="1"/>
    <xf numFmtId="0" fontId="4" fillId="0" borderId="0" xfId="0" applyFont="1" applyAlignment="1">
      <alignment horizontal="center"/>
    </xf>
    <xf numFmtId="0" fontId="4" fillId="0" borderId="0" xfId="0" applyFont="1"/>
    <xf numFmtId="2" fontId="1" fillId="0" borderId="0" xfId="0" applyNumberFormat="1" applyFon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1" fontId="0" fillId="0" borderId="0" xfId="0" applyNumberFormat="1" applyAlignment="1">
      <alignment vertical="center"/>
    </xf>
    <xf numFmtId="0" fontId="4" fillId="6" borderId="0" xfId="0" applyFont="1" applyFill="1"/>
    <xf numFmtId="2" fontId="0" fillId="6" borderId="0" xfId="0" applyNumberFormat="1" applyFill="1"/>
    <xf numFmtId="0" fontId="4" fillId="7" borderId="0" xfId="0" applyFont="1" applyFill="1"/>
    <xf numFmtId="2" fontId="0" fillId="7" borderId="0" xfId="0" applyNumberFormat="1" applyFill="1"/>
    <xf numFmtId="0" fontId="0" fillId="7" borderId="0" xfId="0" applyFill="1"/>
    <xf numFmtId="2" fontId="4" fillId="7" borderId="0" xfId="0" applyNumberFormat="1" applyFont="1" applyFill="1"/>
    <xf numFmtId="0" fontId="4" fillId="9" borderId="0" xfId="0" applyFont="1" applyFill="1"/>
    <xf numFmtId="2" fontId="0" fillId="9" borderId="0" xfId="0" applyNumberFormat="1" applyFill="1"/>
    <xf numFmtId="0" fontId="4" fillId="0" borderId="4" xfId="0" applyFont="1" applyBorder="1" applyAlignment="1">
      <alignment horizontal="center"/>
    </xf>
    <xf numFmtId="0" fontId="0" fillId="10" borderId="0" xfId="0" applyFill="1"/>
    <xf numFmtId="2" fontId="0" fillId="0" borderId="4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2" borderId="4" xfId="0" applyFill="1" applyBorder="1"/>
    <xf numFmtId="0" fontId="0" fillId="2" borderId="3" xfId="0" applyFill="1" applyBorder="1"/>
    <xf numFmtId="1" fontId="0" fillId="0" borderId="0" xfId="0" applyNumberFormat="1"/>
    <xf numFmtId="1" fontId="0" fillId="0" borderId="4" xfId="0" applyNumberFormat="1" applyBorder="1"/>
    <xf numFmtId="0" fontId="0" fillId="2" borderId="0" xfId="0" applyFill="1" applyAlignment="1">
      <alignment horizontal="center"/>
    </xf>
    <xf numFmtId="1" fontId="3" fillId="0" borderId="0" xfId="0" applyNumberFormat="1" applyFont="1"/>
    <xf numFmtId="2" fontId="0" fillId="0" borderId="1" xfId="0" applyNumberForma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6" xfId="0" applyFont="1" applyBorder="1"/>
    <xf numFmtId="0" fontId="0" fillId="2" borderId="1" xfId="0" applyFill="1" applyBorder="1" applyAlignment="1">
      <alignment horizontal="center"/>
    </xf>
    <xf numFmtId="0" fontId="0" fillId="0" borderId="2" xfId="0" applyBorder="1"/>
    <xf numFmtId="2" fontId="0" fillId="0" borderId="2" xfId="0" applyNumberFormat="1" applyBorder="1"/>
    <xf numFmtId="2" fontId="1" fillId="2" borderId="0" xfId="0" applyNumberFormat="1" applyFont="1" applyFill="1"/>
    <xf numFmtId="164" fontId="1" fillId="2" borderId="3" xfId="0" applyNumberFormat="1" applyFont="1" applyFill="1" applyBorder="1"/>
    <xf numFmtId="0" fontId="1" fillId="2" borderId="3" xfId="0" applyFont="1" applyFill="1" applyBorder="1"/>
    <xf numFmtId="0" fontId="1" fillId="0" borderId="4" xfId="0" applyFont="1" applyBorder="1" applyAlignment="1">
      <alignment horizontal="center"/>
    </xf>
    <xf numFmtId="2" fontId="1" fillId="0" borderId="4" xfId="0" applyNumberFormat="1" applyFont="1" applyBorder="1"/>
    <xf numFmtId="0" fontId="1" fillId="0" borderId="4" xfId="0" applyFont="1" applyBorder="1"/>
    <xf numFmtId="164" fontId="0" fillId="0" borderId="1" xfId="0" applyNumberFormat="1" applyBorder="1" applyAlignment="1">
      <alignment horizontal="center"/>
    </xf>
    <xf numFmtId="164" fontId="0" fillId="8" borderId="0" xfId="0" applyNumberFormat="1" applyFill="1"/>
    <xf numFmtId="0" fontId="0" fillId="11" borderId="0" xfId="0" applyFill="1"/>
    <xf numFmtId="0" fontId="0" fillId="12" borderId="0" xfId="0" applyFill="1"/>
    <xf numFmtId="2" fontId="3" fillId="0" borderId="4" xfId="0" applyNumberFormat="1" applyFont="1" applyBorder="1" applyAlignment="1">
      <alignment horizontal="center"/>
    </xf>
    <xf numFmtId="0" fontId="5" fillId="0" borderId="0" xfId="0" applyFont="1"/>
    <xf numFmtId="164" fontId="5" fillId="0" borderId="0" xfId="0" applyNumberFormat="1" applyFont="1" applyAlignment="1">
      <alignment horizontal="center"/>
    </xf>
    <xf numFmtId="164" fontId="5" fillId="0" borderId="0" xfId="0" applyNumberFormat="1" applyFont="1"/>
    <xf numFmtId="0" fontId="5" fillId="0" borderId="3" xfId="0" applyFont="1" applyBorder="1"/>
    <xf numFmtId="164" fontId="5" fillId="0" borderId="3" xfId="0" applyNumberFormat="1" applyFont="1" applyBorder="1" applyAlignment="1">
      <alignment horizontal="center"/>
    </xf>
    <xf numFmtId="164" fontId="5" fillId="0" borderId="3" xfId="0" applyNumberFormat="1" applyFont="1" applyBorder="1"/>
    <xf numFmtId="0" fontId="5" fillId="0" borderId="4" xfId="0" applyFont="1" applyBorder="1"/>
    <xf numFmtId="0" fontId="6" fillId="0" borderId="0" xfId="0" applyFont="1"/>
    <xf numFmtId="164" fontId="6" fillId="0" borderId="0" xfId="0" applyNumberFormat="1" applyFont="1"/>
    <xf numFmtId="0" fontId="6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4" fillId="0" borderId="0" xfId="0" applyFont="1" applyBorder="1" applyAlignment="1">
      <alignment horizontal="center"/>
    </xf>
    <xf numFmtId="0" fontId="3" fillId="0" borderId="0" xfId="0" applyFont="1" applyBorder="1"/>
    <xf numFmtId="2" fontId="3" fillId="0" borderId="0" xfId="0" applyNumberFormat="1" applyFont="1" applyBorder="1"/>
    <xf numFmtId="0" fontId="3" fillId="0" borderId="0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Antioksidan'!$B$17:$B$22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Antioksidan'!$C$17:$C$22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18.138424821002378</c:v>
                </c:pt>
                <c:pt idx="2">
                  <c:v>24.105011933174218</c:v>
                </c:pt>
                <c:pt idx="3">
                  <c:v>26.014319809069207</c:v>
                </c:pt>
                <c:pt idx="4">
                  <c:v>21.957040572792359</c:v>
                </c:pt>
                <c:pt idx="5">
                  <c:v>46.778042959427211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15-4173-A960-C0E454900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695104"/>
        <c:axId val="531681792"/>
      </c:scatterChart>
      <c:valAx>
        <c:axId val="53169510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681792"/>
        <c:crosses val="autoZero"/>
        <c:crossBetween val="midCat"/>
      </c:valAx>
      <c:valAx>
        <c:axId val="531681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695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Antioksidan'!$L$4:$L$9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Antioksidan'!$M$4:$M$9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17.422434367541769</c:v>
                </c:pt>
                <c:pt idx="2">
                  <c:v>17.661097852028643</c:v>
                </c:pt>
                <c:pt idx="3">
                  <c:v>20.286396181384241</c:v>
                </c:pt>
                <c:pt idx="4">
                  <c:v>21.002386634844861</c:v>
                </c:pt>
                <c:pt idx="5">
                  <c:v>19.809069212410492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EE-4D12-878D-D1EAF965F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0946688"/>
        <c:axId val="1560946272"/>
      </c:scatterChart>
      <c:valAx>
        <c:axId val="1560946688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0946272"/>
        <c:crosses val="autoZero"/>
        <c:crossBetween val="midCat"/>
      </c:valAx>
      <c:valAx>
        <c:axId val="1560946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0946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Antioksidan'!$L$15:$L$20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Antioksidan'!$M$15:$M$20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14.319809069212411</c:v>
                </c:pt>
                <c:pt idx="2">
                  <c:v>19.331742243436743</c:v>
                </c:pt>
                <c:pt idx="3">
                  <c:v>14.319809069212411</c:v>
                </c:pt>
                <c:pt idx="4">
                  <c:v>21.241050119331735</c:v>
                </c:pt>
                <c:pt idx="5">
                  <c:v>16.94510739856802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FC9-4628-A908-EE58AD716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6224576"/>
        <c:axId val="1556224992"/>
      </c:scatterChart>
      <c:valAx>
        <c:axId val="1556224576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224992"/>
        <c:crosses val="autoZero"/>
        <c:crossBetween val="midCat"/>
      </c:valAx>
      <c:valAx>
        <c:axId val="155622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224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Antioksidan'!$L$28:$L$33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Antioksidan'!$M$28:$M$33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19.570405727923621</c:v>
                </c:pt>
                <c:pt idx="2">
                  <c:v>17.661097852028643</c:v>
                </c:pt>
                <c:pt idx="3">
                  <c:v>19.570405727923621</c:v>
                </c:pt>
                <c:pt idx="4">
                  <c:v>20.525059665871115</c:v>
                </c:pt>
                <c:pt idx="5">
                  <c:v>21.47971360381861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5B-4BB6-B6FC-EF88E25C8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2264896"/>
        <c:axId val="1652272800"/>
      </c:scatterChart>
      <c:valAx>
        <c:axId val="1652264896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2272800"/>
        <c:crosses val="autoZero"/>
        <c:crossBetween val="midCat"/>
      </c:valAx>
      <c:valAx>
        <c:axId val="165227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2264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Antioksidan'!$L$41:$L$46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Antioksidan'!$M$41:$M$46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20.286396181384241</c:v>
                </c:pt>
                <c:pt idx="2">
                  <c:v>16.94510739856802</c:v>
                </c:pt>
                <c:pt idx="3">
                  <c:v>18.615751789976123</c:v>
                </c:pt>
                <c:pt idx="4">
                  <c:v>14.797136038186157</c:v>
                </c:pt>
                <c:pt idx="5">
                  <c:v>18.138424821002378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44-43BB-956F-AB1187F95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8640208"/>
        <c:axId val="1788622736"/>
      </c:scatterChart>
      <c:valAx>
        <c:axId val="1788640208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622736"/>
        <c:crosses val="autoZero"/>
        <c:crossBetween val="midCat"/>
      </c:valAx>
      <c:valAx>
        <c:axId val="178862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640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Antioksidan'!$L$52:$L$57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Antioksidan'!$M$52:$M$57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19.809069212410492</c:v>
                </c:pt>
                <c:pt idx="2">
                  <c:v>20.047732696897366</c:v>
                </c:pt>
                <c:pt idx="3">
                  <c:v>19.331742243436743</c:v>
                </c:pt>
                <c:pt idx="4">
                  <c:v>20.286396181384241</c:v>
                </c:pt>
                <c:pt idx="5">
                  <c:v>17.661097852028643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49-4289-8E37-2C1189FED7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7249840"/>
        <c:axId val="1727243600"/>
      </c:scatterChart>
      <c:valAx>
        <c:axId val="172724984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7243600"/>
        <c:crosses val="autoZero"/>
        <c:crossBetween val="midCat"/>
      </c:valAx>
      <c:valAx>
        <c:axId val="1727243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7249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Antioksidan'!$L$64:$L$69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Antioksidan'!$M$64:$M$69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15.751789976133654</c:v>
                </c:pt>
                <c:pt idx="2">
                  <c:v>11.694510739856799</c:v>
                </c:pt>
                <c:pt idx="3">
                  <c:v>16.706443914081149</c:v>
                </c:pt>
                <c:pt idx="4">
                  <c:v>18.377088305489249</c:v>
                </c:pt>
                <c:pt idx="5">
                  <c:v>19.093078758949872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A5-4248-B7D6-5D5CF70463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7201168"/>
        <c:axId val="1727206160"/>
      </c:scatterChart>
      <c:valAx>
        <c:axId val="1727201168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7206160"/>
        <c:crosses val="autoZero"/>
        <c:crossBetween val="midCat"/>
      </c:valAx>
      <c:valAx>
        <c:axId val="172720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7201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Antioksidan'!$L$75:$L$80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Antioksidan'!$M$75:$M$80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28.639618138424822</c:v>
                </c:pt>
                <c:pt idx="2">
                  <c:v>30.787589498806682</c:v>
                </c:pt>
                <c:pt idx="3">
                  <c:v>29.594272076372313</c:v>
                </c:pt>
                <c:pt idx="4">
                  <c:v>26.014319809069207</c:v>
                </c:pt>
                <c:pt idx="5">
                  <c:v>31.264916467780434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F2-446B-9116-0769240350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7206576"/>
        <c:axId val="1727206992"/>
      </c:scatterChart>
      <c:valAx>
        <c:axId val="1727206576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7206992"/>
        <c:crosses val="autoZero"/>
        <c:crossBetween val="midCat"/>
      </c:valAx>
      <c:valAx>
        <c:axId val="172720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7206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Antioksidan'!$L$87:$L$92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Antioksidan'!$M$87:$M$92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19.093078758949872</c:v>
                </c:pt>
                <c:pt idx="2">
                  <c:v>21.47971360381861</c:v>
                </c:pt>
                <c:pt idx="3">
                  <c:v>21.241050119331735</c:v>
                </c:pt>
                <c:pt idx="4">
                  <c:v>22.434367541766104</c:v>
                </c:pt>
                <c:pt idx="5">
                  <c:v>19.331742243436743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46-4D4C-9499-232E78E010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9243296"/>
        <c:axId val="1759229152"/>
      </c:scatterChart>
      <c:valAx>
        <c:axId val="1759243296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9229152"/>
        <c:crosses val="autoZero"/>
        <c:crossBetween val="midCat"/>
      </c:valAx>
      <c:valAx>
        <c:axId val="175922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9243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Antioksidan'!$L$101:$L$106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Antioksidan'!$M$101:$M$106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17.899761336515514</c:v>
                </c:pt>
                <c:pt idx="2">
                  <c:v>18.377088305489249</c:v>
                </c:pt>
                <c:pt idx="3">
                  <c:v>16.94510739856802</c:v>
                </c:pt>
                <c:pt idx="4">
                  <c:v>18.377088305489249</c:v>
                </c:pt>
                <c:pt idx="5">
                  <c:v>16.706443914081149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4A-4FFF-82AA-AB1B60A89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8633552"/>
        <c:axId val="1788630640"/>
      </c:scatterChart>
      <c:valAx>
        <c:axId val="178863355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630640"/>
        <c:crosses val="autoZero"/>
        <c:crossBetween val="midCat"/>
      </c:valAx>
      <c:valAx>
        <c:axId val="178863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633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Antioksidan'!$U$4:$U$9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Antioksidan'!$V$4:$V$9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28.400954653937948</c:v>
                </c:pt>
                <c:pt idx="2">
                  <c:v>28.878281622911693</c:v>
                </c:pt>
                <c:pt idx="3">
                  <c:v>28.400954653937948</c:v>
                </c:pt>
                <c:pt idx="4">
                  <c:v>30.548926014319811</c:v>
                </c:pt>
                <c:pt idx="5">
                  <c:v>29.116945107398568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5C-466C-B9FC-C0C22A0B49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5306976"/>
        <c:axId val="1995310720"/>
      </c:scatterChart>
      <c:valAx>
        <c:axId val="1995306976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5310720"/>
        <c:crosses val="autoZero"/>
        <c:crossBetween val="midCat"/>
      </c:valAx>
      <c:valAx>
        <c:axId val="199531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5306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Antioksidan'!$B$4:$B$9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Antioksidan'!$C$4:$C$9</c:f>
              <c:numCache>
                <c:formatCode>0.00</c:formatCode>
                <c:ptCount val="6"/>
                <c:pt idx="0" formatCode="0">
                  <c:v>0</c:v>
                </c:pt>
                <c:pt idx="1">
                  <c:v>18.138424821002378</c:v>
                </c:pt>
                <c:pt idx="2">
                  <c:v>39.856801909307869</c:v>
                </c:pt>
                <c:pt idx="3">
                  <c:v>23.150357995226724</c:v>
                </c:pt>
                <c:pt idx="4">
                  <c:v>65.393794749403341</c:v>
                </c:pt>
                <c:pt idx="5">
                  <c:v>19.570405727923621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E0-466E-ABED-EF4DC9A53F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708832"/>
        <c:axId val="531709248"/>
      </c:scatterChart>
      <c:valAx>
        <c:axId val="53170883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709248"/>
        <c:crosses val="autoZero"/>
        <c:crossBetween val="midCat"/>
      </c:valAx>
      <c:valAx>
        <c:axId val="53170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708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Antioksidan'!$U$25:$U$30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Antioksidan'!$V$25:$V$30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30.071599045346066</c:v>
                </c:pt>
                <c:pt idx="2">
                  <c:v>29.355608591885442</c:v>
                </c:pt>
                <c:pt idx="3">
                  <c:v>29.594272076372313</c:v>
                </c:pt>
                <c:pt idx="4">
                  <c:v>28.400954653937948</c:v>
                </c:pt>
                <c:pt idx="5">
                  <c:v>41.07744107744108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C5-4459-9C10-AE0E62E15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0142640"/>
        <c:axId val="2000135152"/>
      </c:scatterChart>
      <c:valAx>
        <c:axId val="200014264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0135152"/>
        <c:crosses val="autoZero"/>
        <c:crossBetween val="midCat"/>
      </c:valAx>
      <c:valAx>
        <c:axId val="200013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0142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Antioksidan'!$U$47:$U$52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Antioksidan'!$V$47:$V$52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28.400954653937948</c:v>
                </c:pt>
                <c:pt idx="2">
                  <c:v>29.832935560859191</c:v>
                </c:pt>
                <c:pt idx="3">
                  <c:v>29.594272076372313</c:v>
                </c:pt>
                <c:pt idx="4">
                  <c:v>31.980906921241054</c:v>
                </c:pt>
                <c:pt idx="5">
                  <c:v>31.264916467780434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F8-4CF3-8E35-FB253268B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5448400"/>
        <c:axId val="2105445904"/>
      </c:scatterChart>
      <c:valAx>
        <c:axId val="210544840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445904"/>
        <c:crosses val="autoZero"/>
        <c:crossBetween val="midCat"/>
      </c:valAx>
      <c:valAx>
        <c:axId val="210544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448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Antioksidan'!$U$70:$U$75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Antioksidan'!$V$70:$V$75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31.264916467780434</c:v>
                </c:pt>
                <c:pt idx="2">
                  <c:v>34.606205250596652</c:v>
                </c:pt>
                <c:pt idx="3">
                  <c:v>31.980906921241054</c:v>
                </c:pt>
                <c:pt idx="4">
                  <c:v>33.651551312649161</c:v>
                </c:pt>
                <c:pt idx="5">
                  <c:v>36.038186157517892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62-4CF4-95C9-1E5957C6DC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918208"/>
        <c:axId val="2107919456"/>
      </c:scatterChart>
      <c:valAx>
        <c:axId val="2107918208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7919456"/>
        <c:crosses val="autoZero"/>
        <c:crossBetween val="midCat"/>
      </c:valAx>
      <c:valAx>
        <c:axId val="210791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7918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Antioksidan'!$U$91:$U$96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Antioksidan'!$V$91:$V$96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33.890214797136032</c:v>
                </c:pt>
                <c:pt idx="2">
                  <c:v>31.980906921241054</c:v>
                </c:pt>
                <c:pt idx="3">
                  <c:v>33.412887828162283</c:v>
                </c:pt>
                <c:pt idx="4">
                  <c:v>31.264916467780434</c:v>
                </c:pt>
                <c:pt idx="5">
                  <c:v>33.174224343675405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29-4A73-ADE4-F5F20AA69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06784"/>
        <c:axId val="16008448"/>
      </c:scatterChart>
      <c:valAx>
        <c:axId val="1600678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08448"/>
        <c:crosses val="autoZero"/>
        <c:crossBetween val="midCat"/>
      </c:valAx>
      <c:valAx>
        <c:axId val="16008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06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Antioksidan'!$U$113:$U$118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Antioksidan'!$V$113:$V$118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32.4582338902148</c:v>
                </c:pt>
                <c:pt idx="2">
                  <c:v>31.503579952267309</c:v>
                </c:pt>
                <c:pt idx="3">
                  <c:v>30.787589498806682</c:v>
                </c:pt>
                <c:pt idx="4">
                  <c:v>30.310262529832936</c:v>
                </c:pt>
                <c:pt idx="5">
                  <c:v>30.787589498806682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23-462F-8681-5D861011A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1407360"/>
        <c:axId val="1991402368"/>
      </c:scatterChart>
      <c:valAx>
        <c:axId val="199140736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1402368"/>
        <c:crosses val="autoZero"/>
        <c:crossBetween val="midCat"/>
      </c:valAx>
      <c:valAx>
        <c:axId val="199140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1407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Antioksidan'!$L$112:$L$117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Antioksidan'!$M$112:$M$117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26.968973747016705</c:v>
                </c:pt>
                <c:pt idx="2">
                  <c:v>28.400954653937948</c:v>
                </c:pt>
                <c:pt idx="3">
                  <c:v>25.29832935560859</c:v>
                </c:pt>
                <c:pt idx="4">
                  <c:v>25.536992840095461</c:v>
                </c:pt>
                <c:pt idx="5">
                  <c:v>27.207637231503579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58-4B95-BCE3-D7756F75D3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25504"/>
        <c:axId val="16021760"/>
      </c:scatterChart>
      <c:valAx>
        <c:axId val="1602550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21760"/>
        <c:crosses val="autoZero"/>
        <c:crossBetween val="midCat"/>
      </c:valAx>
      <c:valAx>
        <c:axId val="1602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25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Antioksidan'!$L$135:$L$140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Antioksidan'!$M$135:$M$140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28.400954653937948</c:v>
                </c:pt>
                <c:pt idx="2">
                  <c:v>29.832935560859191</c:v>
                </c:pt>
                <c:pt idx="3">
                  <c:v>28.878281622911693</c:v>
                </c:pt>
                <c:pt idx="4">
                  <c:v>27.684964200477324</c:v>
                </c:pt>
                <c:pt idx="5">
                  <c:v>21.241050119331735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68-419B-AC67-B90DA5465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0147632"/>
        <c:axId val="2000149712"/>
      </c:scatterChart>
      <c:valAx>
        <c:axId val="200014763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0149712"/>
        <c:crosses val="autoZero"/>
        <c:crossBetween val="midCat"/>
      </c:valAx>
      <c:valAx>
        <c:axId val="200014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0147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Antioksidan'!$L$156:$L$161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Antioksidan'!$M$156:$M$160</c:f>
              <c:numCache>
                <c:formatCode>0.00</c:formatCode>
                <c:ptCount val="5"/>
                <c:pt idx="0" formatCode="General">
                  <c:v>0</c:v>
                </c:pt>
                <c:pt idx="1">
                  <c:v>25.29832935560859</c:v>
                </c:pt>
                <c:pt idx="2">
                  <c:v>22.434367541766104</c:v>
                </c:pt>
                <c:pt idx="3">
                  <c:v>24.821002386634841</c:v>
                </c:pt>
                <c:pt idx="4">
                  <c:v>22.195704057279229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9D-4D9E-8FDF-3991B48BA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1414432"/>
        <c:axId val="1991406944"/>
      </c:scatterChart>
      <c:valAx>
        <c:axId val="199141443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1406944"/>
        <c:crosses val="autoZero"/>
        <c:crossBetween val="midCat"/>
      </c:valAx>
      <c:valAx>
        <c:axId val="1991406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1414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Antioksidan'!$B$31:$B$36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Antioksidan'!$C$31:$C$36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18.377088305489249</c:v>
                </c:pt>
                <c:pt idx="2">
                  <c:v>19.331742243436743</c:v>
                </c:pt>
                <c:pt idx="3">
                  <c:v>20.525059665871115</c:v>
                </c:pt>
                <c:pt idx="4">
                  <c:v>23.150357995226724</c:v>
                </c:pt>
                <c:pt idx="5">
                  <c:v>18.854415274462998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FFD-46A7-9A3D-FB226C177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9281200"/>
        <c:axId val="249276208"/>
      </c:scatterChart>
      <c:valAx>
        <c:axId val="24928120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276208"/>
        <c:crosses val="autoZero"/>
        <c:crossBetween val="midCat"/>
      </c:valAx>
      <c:valAx>
        <c:axId val="24927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281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Antioksidan'!$B$45:$B$50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Antioksidan'!$C$45:$C$50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26.730310262529834</c:v>
                </c:pt>
                <c:pt idx="2">
                  <c:v>26.968973747016705</c:v>
                </c:pt>
                <c:pt idx="3">
                  <c:v>28.162291169451077</c:v>
                </c:pt>
                <c:pt idx="4">
                  <c:v>28.878281622911693</c:v>
                </c:pt>
                <c:pt idx="5">
                  <c:v>29.832935560859191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40-4065-80AE-18417670D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1554448"/>
        <c:axId val="731538224"/>
      </c:scatterChart>
      <c:valAx>
        <c:axId val="731554448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1538224"/>
        <c:crosses val="autoZero"/>
        <c:crossBetween val="midCat"/>
      </c:valAx>
      <c:valAx>
        <c:axId val="73153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1554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Antioksidan'!$B$59:$B$64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Antioksidan'!$C$59:$C$64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19.093078758949872</c:v>
                </c:pt>
                <c:pt idx="2">
                  <c:v>23.150357995226724</c:v>
                </c:pt>
                <c:pt idx="3">
                  <c:v>20.525059665871115</c:v>
                </c:pt>
                <c:pt idx="4">
                  <c:v>18.854415274462998</c:v>
                </c:pt>
                <c:pt idx="5">
                  <c:v>22.434367541766104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AB-40E4-8343-BEDE41317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689696"/>
        <c:axId val="531695520"/>
      </c:scatterChart>
      <c:valAx>
        <c:axId val="531689696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695520"/>
        <c:crosses val="autoZero"/>
        <c:crossBetween val="midCat"/>
      </c:valAx>
      <c:valAx>
        <c:axId val="531695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689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Antioksidan'!$B$72:$B$77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Antioksidan'!$C$72:$C$77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19.809069212410492</c:v>
                </c:pt>
                <c:pt idx="2">
                  <c:v>19.570405727923621</c:v>
                </c:pt>
                <c:pt idx="3">
                  <c:v>20.525059665871115</c:v>
                </c:pt>
                <c:pt idx="4">
                  <c:v>19.570405727923621</c:v>
                </c:pt>
                <c:pt idx="5">
                  <c:v>21.957040572792359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77-4965-B155-77BE1CB0F8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7689920"/>
        <c:axId val="617687008"/>
      </c:scatterChart>
      <c:valAx>
        <c:axId val="61768992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7687008"/>
        <c:crosses val="autoZero"/>
        <c:crossBetween val="midCat"/>
      </c:valAx>
      <c:valAx>
        <c:axId val="617687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7689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Antioksidan'!$B$87:$B$92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Antioksidan'!$C$87:$C$92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15.751789976133654</c:v>
                </c:pt>
                <c:pt idx="2">
                  <c:v>18.377088305489249</c:v>
                </c:pt>
                <c:pt idx="3">
                  <c:v>20.763723150357986</c:v>
                </c:pt>
                <c:pt idx="4">
                  <c:v>18.615751789976123</c:v>
                </c:pt>
                <c:pt idx="5">
                  <c:v>20.286396181384241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31-4AEA-9620-A565DAB298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137872"/>
        <c:axId val="535137456"/>
      </c:scatterChart>
      <c:valAx>
        <c:axId val="53513787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137456"/>
        <c:crosses val="autoZero"/>
        <c:crossBetween val="midCat"/>
      </c:valAx>
      <c:valAx>
        <c:axId val="53513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137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Antioksidan'!$B$100:$B$105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Antioksidan'!$C$100:$C$105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27.207637231503579</c:v>
                </c:pt>
                <c:pt idx="2">
                  <c:v>21.957040572792359</c:v>
                </c:pt>
                <c:pt idx="3">
                  <c:v>28.639618138424822</c:v>
                </c:pt>
                <c:pt idx="4">
                  <c:v>31.264916467780434</c:v>
                </c:pt>
                <c:pt idx="5">
                  <c:v>29.594272076372313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D7-40F8-AAE9-355168795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5165520"/>
        <c:axId val="765165936"/>
      </c:scatterChart>
      <c:valAx>
        <c:axId val="76516552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5165936"/>
        <c:crosses val="autoZero"/>
        <c:crossBetween val="midCat"/>
      </c:valAx>
      <c:valAx>
        <c:axId val="76516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5165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Antioksidan'!$B$113:$B$118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</c:numCache>
            </c:numRef>
          </c:xVal>
          <c:yVal>
            <c:numRef>
              <c:f>'Kurva Antioksidan'!$C$113:$C$118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15.990453460620527</c:v>
                </c:pt>
                <c:pt idx="2">
                  <c:v>15.035799522673033</c:v>
                </c:pt>
                <c:pt idx="3">
                  <c:v>14.797136038186157</c:v>
                </c:pt>
                <c:pt idx="4">
                  <c:v>16.706443914081149</c:v>
                </c:pt>
                <c:pt idx="5">
                  <c:v>14.319809069212411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FD-434B-94CB-721518800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5185488"/>
        <c:axId val="765185904"/>
      </c:scatterChart>
      <c:valAx>
        <c:axId val="765185488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5185904"/>
        <c:crosses val="autoZero"/>
        <c:crossBetween val="midCat"/>
      </c:valAx>
      <c:valAx>
        <c:axId val="76518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5185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142876</xdr:colOff>
      <xdr:row>13</xdr:row>
      <xdr:rowOff>95250</xdr:rowOff>
    </xdr:from>
    <xdr:to>
      <xdr:col>10</xdr:col>
      <xdr:colOff>85726</xdr:colOff>
      <xdr:row>23</xdr:row>
      <xdr:rowOff>19050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BB10DEB-3F50-4D8F-9E0A-7CA897AF9F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142876</xdr:colOff>
      <xdr:row>1</xdr:row>
      <xdr:rowOff>80962</xdr:rowOff>
    </xdr:from>
    <xdr:to>
      <xdr:col>10</xdr:col>
      <xdr:colOff>66675</xdr:colOff>
      <xdr:row>12</xdr:row>
      <xdr:rowOff>28576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DB73E40-107E-4ECD-8996-645D211D5B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142875</xdr:colOff>
      <xdr:row>25</xdr:row>
      <xdr:rowOff>166687</xdr:rowOff>
    </xdr:from>
    <xdr:to>
      <xdr:col>10</xdr:col>
      <xdr:colOff>114300</xdr:colOff>
      <xdr:row>37</xdr:row>
      <xdr:rowOff>171450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4C83991-044B-4CB7-B2B5-43420913B5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209550</xdr:colOff>
      <xdr:row>41</xdr:row>
      <xdr:rowOff>42862</xdr:rowOff>
    </xdr:from>
    <xdr:to>
      <xdr:col>10</xdr:col>
      <xdr:colOff>142875</xdr:colOff>
      <xdr:row>53</xdr:row>
      <xdr:rowOff>66675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15437652-BF5E-4C05-82FD-6AA7DB47CC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180976</xdr:colOff>
      <xdr:row>56</xdr:row>
      <xdr:rowOff>61912</xdr:rowOff>
    </xdr:from>
    <xdr:to>
      <xdr:col>10</xdr:col>
      <xdr:colOff>428625</xdr:colOff>
      <xdr:row>68</xdr:row>
      <xdr:rowOff>38100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1CA8C64D-8118-4F0B-903C-A06513021C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314326</xdr:colOff>
      <xdr:row>69</xdr:row>
      <xdr:rowOff>52387</xdr:rowOff>
    </xdr:from>
    <xdr:to>
      <xdr:col>10</xdr:col>
      <xdr:colOff>257176</xdr:colOff>
      <xdr:row>82</xdr:row>
      <xdr:rowOff>66675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1994D3C-6B82-42D4-8719-A1A1888DE0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342901</xdr:colOff>
      <xdr:row>83</xdr:row>
      <xdr:rowOff>100012</xdr:rowOff>
    </xdr:from>
    <xdr:to>
      <xdr:col>10</xdr:col>
      <xdr:colOff>47625</xdr:colOff>
      <xdr:row>94</xdr:row>
      <xdr:rowOff>19050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F4CB2B57-5323-44EA-881D-C1A8D8047A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323850</xdr:colOff>
      <xdr:row>96</xdr:row>
      <xdr:rowOff>71437</xdr:rowOff>
    </xdr:from>
    <xdr:to>
      <xdr:col>10</xdr:col>
      <xdr:colOff>447675</xdr:colOff>
      <xdr:row>107</xdr:row>
      <xdr:rowOff>171450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A2040299-8058-4950-9DDF-8C8DDEF1D4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257175</xdr:colOff>
      <xdr:row>109</xdr:row>
      <xdr:rowOff>14288</xdr:rowOff>
    </xdr:from>
    <xdr:to>
      <xdr:col>10</xdr:col>
      <xdr:colOff>514350</xdr:colOff>
      <xdr:row>120</xdr:row>
      <xdr:rowOff>104776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D886883B-F19E-4CE4-9589-8D1BE645A7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14</xdr:col>
      <xdr:colOff>361949</xdr:colOff>
      <xdr:row>0</xdr:row>
      <xdr:rowOff>138111</xdr:rowOff>
    </xdr:from>
    <xdr:to>
      <xdr:col>19</xdr:col>
      <xdr:colOff>323849</xdr:colOff>
      <xdr:row>11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6D8D9A2-C709-4261-82F6-D1D93EE9A9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304800</xdr:colOff>
      <xdr:row>13</xdr:row>
      <xdr:rowOff>23813</xdr:rowOff>
    </xdr:from>
    <xdr:to>
      <xdr:col>19</xdr:col>
      <xdr:colOff>76200</xdr:colOff>
      <xdr:row>24</xdr:row>
      <xdr:rowOff>57151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2925A52-35B2-4996-A321-6B9BA6BC4A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14</xdr:col>
      <xdr:colOff>419100</xdr:colOff>
      <xdr:row>25</xdr:row>
      <xdr:rowOff>119062</xdr:rowOff>
    </xdr:from>
    <xdr:to>
      <xdr:col>19</xdr:col>
      <xdr:colOff>276225</xdr:colOff>
      <xdr:row>36</xdr:row>
      <xdr:rowOff>47625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8763B348-D5DA-4FB0-8B62-ACC1E54A59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447674</xdr:colOff>
      <xdr:row>37</xdr:row>
      <xdr:rowOff>71437</xdr:rowOff>
    </xdr:from>
    <xdr:to>
      <xdr:col>19</xdr:col>
      <xdr:colOff>219075</xdr:colOff>
      <xdr:row>47</xdr:row>
      <xdr:rowOff>95250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AA2A9411-117F-4682-9872-535189A0D2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14</xdr:col>
      <xdr:colOff>428625</xdr:colOff>
      <xdr:row>48</xdr:row>
      <xdr:rowOff>57151</xdr:rowOff>
    </xdr:from>
    <xdr:to>
      <xdr:col>19</xdr:col>
      <xdr:colOff>190499</xdr:colOff>
      <xdr:row>58</xdr:row>
      <xdr:rowOff>85725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F76BFC8B-A68E-461A-950C-E9351D6FAC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14</xdr:col>
      <xdr:colOff>285749</xdr:colOff>
      <xdr:row>60</xdr:row>
      <xdr:rowOff>100013</xdr:rowOff>
    </xdr:from>
    <xdr:to>
      <xdr:col>19</xdr:col>
      <xdr:colOff>228599</xdr:colOff>
      <xdr:row>71</xdr:row>
      <xdr:rowOff>19051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6656D38E-3012-4B7B-8873-6A2B36C194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14</xdr:col>
      <xdr:colOff>361949</xdr:colOff>
      <xdr:row>72</xdr:row>
      <xdr:rowOff>128586</xdr:rowOff>
    </xdr:from>
    <xdr:to>
      <xdr:col>19</xdr:col>
      <xdr:colOff>228599</xdr:colOff>
      <xdr:row>83</xdr:row>
      <xdr:rowOff>76199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FE1EDA34-BF60-4B76-86A0-BC3E21EBD8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14</xdr:col>
      <xdr:colOff>352425</xdr:colOff>
      <xdr:row>84</xdr:row>
      <xdr:rowOff>66676</xdr:rowOff>
    </xdr:from>
    <xdr:to>
      <xdr:col>19</xdr:col>
      <xdr:colOff>266700</xdr:colOff>
      <xdr:row>94</xdr:row>
      <xdr:rowOff>123826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1C7B60F7-861B-4024-B5CB-8693EC462A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14</xdr:col>
      <xdr:colOff>276226</xdr:colOff>
      <xdr:row>95</xdr:row>
      <xdr:rowOff>185737</xdr:rowOff>
    </xdr:from>
    <xdr:to>
      <xdr:col>19</xdr:col>
      <xdr:colOff>400051</xdr:colOff>
      <xdr:row>106</xdr:row>
      <xdr:rowOff>180975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7E615905-EE49-4033-9338-29FC338D4F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20</xdr:col>
      <xdr:colOff>38101</xdr:colOff>
      <xdr:row>11</xdr:row>
      <xdr:rowOff>52387</xdr:rowOff>
    </xdr:from>
    <xdr:to>
      <xdr:col>24</xdr:col>
      <xdr:colOff>561975</xdr:colOff>
      <xdr:row>21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A568AB-95FF-4D03-9798-81FACA0416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20</xdr:col>
      <xdr:colOff>85726</xdr:colOff>
      <xdr:row>32</xdr:row>
      <xdr:rowOff>138112</xdr:rowOff>
    </xdr:from>
    <xdr:to>
      <xdr:col>25</xdr:col>
      <xdr:colOff>142876</xdr:colOff>
      <xdr:row>43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1DAF0D1-76E8-4E1C-B08F-71574276D6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20</xdr:col>
      <xdr:colOff>104776</xdr:colOff>
      <xdr:row>54</xdr:row>
      <xdr:rowOff>109537</xdr:rowOff>
    </xdr:from>
    <xdr:to>
      <xdr:col>25</xdr:col>
      <xdr:colOff>295276</xdr:colOff>
      <xdr:row>66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E73ED9B-304D-4C1C-AEAB-34F70C8A63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20</xdr:col>
      <xdr:colOff>76200</xdr:colOff>
      <xdr:row>77</xdr:row>
      <xdr:rowOff>80962</xdr:rowOff>
    </xdr:from>
    <xdr:to>
      <xdr:col>24</xdr:col>
      <xdr:colOff>447675</xdr:colOff>
      <xdr:row>87</xdr:row>
      <xdr:rowOff>76200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D8B06B4-C719-45E1-902E-610FEEA16B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20</xdr:col>
      <xdr:colOff>104775</xdr:colOff>
      <xdr:row>98</xdr:row>
      <xdr:rowOff>52387</xdr:rowOff>
    </xdr:from>
    <xdr:to>
      <xdr:col>24</xdr:col>
      <xdr:colOff>485775</xdr:colOff>
      <xdr:row>109</xdr:row>
      <xdr:rowOff>123824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5A7FE6A3-4BA9-4DBF-8ABC-0919F37DE6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20</xdr:col>
      <xdr:colOff>161926</xdr:colOff>
      <xdr:row>120</xdr:row>
      <xdr:rowOff>80962</xdr:rowOff>
    </xdr:from>
    <xdr:to>
      <xdr:col>24</xdr:col>
      <xdr:colOff>600076</xdr:colOff>
      <xdr:row>130</xdr:row>
      <xdr:rowOff>171450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BFEBDD99-FE48-4F8A-97E8-1E83532279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11</xdr:col>
      <xdr:colOff>57151</xdr:colOff>
      <xdr:row>119</xdr:row>
      <xdr:rowOff>100013</xdr:rowOff>
    </xdr:from>
    <xdr:to>
      <xdr:col>15</xdr:col>
      <xdr:colOff>638176</xdr:colOff>
      <xdr:row>130</xdr:row>
      <xdr:rowOff>152401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87770719-DC92-414C-9692-0F7CFAA26C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11</xdr:col>
      <xdr:colOff>123825</xdr:colOff>
      <xdr:row>142</xdr:row>
      <xdr:rowOff>119062</xdr:rowOff>
    </xdr:from>
    <xdr:to>
      <xdr:col>15</xdr:col>
      <xdr:colOff>419100</xdr:colOff>
      <xdr:row>152</xdr:row>
      <xdr:rowOff>95249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585A688D-3EBD-4FEB-ADCE-2FBE65CA7B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14</xdr:col>
      <xdr:colOff>123825</xdr:colOff>
      <xdr:row>153</xdr:row>
      <xdr:rowOff>71436</xdr:rowOff>
    </xdr:from>
    <xdr:to>
      <xdr:col>19</xdr:col>
      <xdr:colOff>438149</xdr:colOff>
      <xdr:row>164</xdr:row>
      <xdr:rowOff>57149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26BF73D5-556D-4BB8-9E1E-DA5B02C8FB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A43B0-96A3-49AA-96A0-9699070B938A}">
  <dimension ref="A2:AD27"/>
  <sheetViews>
    <sheetView topLeftCell="F1" zoomScale="90" zoomScaleNormal="90" workbookViewId="0">
      <selection activeCell="P20" sqref="P20"/>
    </sheetView>
  </sheetViews>
  <sheetFormatPr defaultRowHeight="15" x14ac:dyDescent="0.25"/>
  <cols>
    <col min="1" max="1" width="10.85546875" customWidth="1"/>
    <col min="2" max="2" width="11.85546875" customWidth="1"/>
    <col min="6" max="6" width="10.28515625" bestFit="1" customWidth="1"/>
    <col min="7" max="7" width="6.28515625" customWidth="1"/>
    <col min="8" max="8" width="11.140625" customWidth="1"/>
    <col min="9" max="9" width="12.7109375" customWidth="1"/>
    <col min="10" max="10" width="13.140625" bestFit="1" customWidth="1"/>
    <col min="11" max="11" width="11.85546875" bestFit="1" customWidth="1"/>
    <col min="12" max="12" width="10.5703125" customWidth="1"/>
    <col min="13" max="14" width="9.28515625" customWidth="1"/>
    <col min="15" max="15" width="9.5703125" customWidth="1"/>
    <col min="16" max="16" width="9.28515625" customWidth="1"/>
    <col min="17" max="17" width="8.85546875" customWidth="1"/>
    <col min="18" max="18" width="15.28515625" customWidth="1"/>
    <col min="19" max="19" width="12.85546875" bestFit="1" customWidth="1"/>
    <col min="20" max="20" width="11.42578125" customWidth="1"/>
    <col min="22" max="22" width="11.42578125" customWidth="1"/>
    <col min="23" max="23" width="11" customWidth="1"/>
    <col min="24" max="24" width="9.7109375" customWidth="1"/>
    <col min="25" max="25" width="8.140625" customWidth="1"/>
    <col min="26" max="26" width="7.7109375" customWidth="1"/>
    <col min="30" max="30" width="7.42578125" customWidth="1"/>
  </cols>
  <sheetData>
    <row r="2" spans="1:30" ht="15.75" x14ac:dyDescent="0.25">
      <c r="A2" s="105" t="s">
        <v>42</v>
      </c>
      <c r="B2" s="106"/>
    </row>
    <row r="3" spans="1:30" ht="15.75" x14ac:dyDescent="0.25">
      <c r="A3" s="107"/>
      <c r="B3" s="109" t="s">
        <v>1</v>
      </c>
      <c r="C3" s="109"/>
      <c r="D3" s="109"/>
      <c r="E3" s="108" t="s">
        <v>18</v>
      </c>
      <c r="F3" s="108" t="s">
        <v>5</v>
      </c>
      <c r="P3" s="104" t="s">
        <v>57</v>
      </c>
      <c r="Q3" s="104"/>
      <c r="S3" t="s">
        <v>29</v>
      </c>
      <c r="T3" t="s">
        <v>36</v>
      </c>
      <c r="U3" t="s">
        <v>37</v>
      </c>
      <c r="W3" s="1"/>
    </row>
    <row r="4" spans="1:30" ht="15.75" x14ac:dyDescent="0.25">
      <c r="A4" s="107"/>
      <c r="B4" s="3" t="s">
        <v>2</v>
      </c>
      <c r="C4" s="3" t="s">
        <v>3</v>
      </c>
      <c r="D4" s="3" t="s">
        <v>4</v>
      </c>
      <c r="E4" s="108"/>
      <c r="F4" s="108"/>
      <c r="H4" s="110" t="s">
        <v>20</v>
      </c>
      <c r="I4" s="110"/>
      <c r="J4" s="5"/>
      <c r="K4" s="5"/>
      <c r="L4" s="5"/>
      <c r="M4" s="5"/>
      <c r="P4" t="s">
        <v>38</v>
      </c>
      <c r="Q4" s="14">
        <f t="shared" ref="Q4:Q12" si="0">F5</f>
        <v>1.2766666666666666</v>
      </c>
      <c r="S4" s="17" t="s">
        <v>38</v>
      </c>
      <c r="T4" s="14">
        <f>Q4</f>
        <v>1.2766666666666666</v>
      </c>
      <c r="U4">
        <f>Q14</f>
        <v>10.065447190812714</v>
      </c>
      <c r="V4" s="14">
        <f>T4+U4</f>
        <v>11.342113857479381</v>
      </c>
    </row>
    <row r="5" spans="1:30" ht="15.75" x14ac:dyDescent="0.25">
      <c r="A5" s="3" t="s">
        <v>38</v>
      </c>
      <c r="B5" s="4">
        <v>1.33</v>
      </c>
      <c r="C5" s="4">
        <v>1.28</v>
      </c>
      <c r="D5" s="4">
        <v>1.22</v>
      </c>
      <c r="E5" s="4">
        <f>SUM(B5:D5)</f>
        <v>3.83</v>
      </c>
      <c r="F5" s="15">
        <f>E5/3</f>
        <v>1.2766666666666666</v>
      </c>
      <c r="H5" s="108" t="s">
        <v>30</v>
      </c>
      <c r="I5" s="109" t="s">
        <v>31</v>
      </c>
      <c r="J5" s="109"/>
      <c r="K5" s="109"/>
      <c r="L5" s="108" t="s">
        <v>18</v>
      </c>
      <c r="M5" s="108" t="s">
        <v>26</v>
      </c>
      <c r="P5" t="s">
        <v>40</v>
      </c>
      <c r="Q5" s="26">
        <f t="shared" si="0"/>
        <v>1.3533333333333333</v>
      </c>
      <c r="R5" s="17"/>
      <c r="S5" s="17" t="s">
        <v>9</v>
      </c>
      <c r="T5" s="26">
        <f>Q10</f>
        <v>1.3233333333333335</v>
      </c>
      <c r="U5">
        <f>Q14</f>
        <v>10.065447190812714</v>
      </c>
      <c r="V5" s="26">
        <f>T5+U5</f>
        <v>11.388780524146048</v>
      </c>
      <c r="W5" s="17"/>
      <c r="X5" s="17"/>
      <c r="Y5" s="17"/>
      <c r="Z5" s="17"/>
      <c r="AA5" s="17"/>
      <c r="AB5" s="17"/>
      <c r="AC5" s="17"/>
      <c r="AD5" s="17"/>
    </row>
    <row r="6" spans="1:30" ht="15.75" x14ac:dyDescent="0.25">
      <c r="A6" s="3" t="s">
        <v>40</v>
      </c>
      <c r="B6" s="4">
        <v>1.18</v>
      </c>
      <c r="C6" s="4">
        <v>1.91</v>
      </c>
      <c r="D6" s="4">
        <v>0.97</v>
      </c>
      <c r="E6" s="4">
        <f t="shared" ref="E6:E13" si="1">SUM(B6:D6)</f>
        <v>4.0599999999999996</v>
      </c>
      <c r="F6" s="15">
        <f t="shared" ref="F6:F13" si="2">E6/3</f>
        <v>1.3533333333333333</v>
      </c>
      <c r="H6" s="108"/>
      <c r="I6" s="4" t="s">
        <v>21</v>
      </c>
      <c r="J6" s="4" t="s">
        <v>22</v>
      </c>
      <c r="K6" s="4" t="s">
        <v>23</v>
      </c>
      <c r="L6" s="108"/>
      <c r="M6" s="108"/>
      <c r="P6" t="s">
        <v>39</v>
      </c>
      <c r="Q6" s="26">
        <f t="shared" si="0"/>
        <v>1.9066666666666665</v>
      </c>
      <c r="R6" s="26"/>
      <c r="S6" s="17" t="s">
        <v>6</v>
      </c>
      <c r="T6" s="26">
        <f>Q7</f>
        <v>1.3399999999999999</v>
      </c>
      <c r="U6">
        <f>Q14</f>
        <v>10.065447190812714</v>
      </c>
      <c r="V6" s="26">
        <f>T6+U6</f>
        <v>11.405447190812714</v>
      </c>
      <c r="W6" s="17"/>
      <c r="X6" s="26"/>
      <c r="Y6" s="26"/>
      <c r="Z6" s="26"/>
      <c r="AA6" s="26"/>
      <c r="AB6" s="26"/>
      <c r="AC6" s="17"/>
      <c r="AD6" s="17"/>
    </row>
    <row r="7" spans="1:30" ht="15.75" x14ac:dyDescent="0.25">
      <c r="A7" s="3" t="s">
        <v>39</v>
      </c>
      <c r="B7" s="4">
        <v>1.97</v>
      </c>
      <c r="C7" s="4">
        <v>1.92</v>
      </c>
      <c r="D7" s="4">
        <v>1.83</v>
      </c>
      <c r="E7" s="4">
        <f t="shared" si="1"/>
        <v>5.72</v>
      </c>
      <c r="F7" s="15">
        <f t="shared" si="2"/>
        <v>1.9066666666666665</v>
      </c>
      <c r="H7" s="4" t="s">
        <v>41</v>
      </c>
      <c r="I7" s="4">
        <f>E5</f>
        <v>3.83</v>
      </c>
      <c r="J7" s="4">
        <f>E6</f>
        <v>4.0599999999999996</v>
      </c>
      <c r="K7" s="4">
        <f>E7</f>
        <v>5.72</v>
      </c>
      <c r="L7" s="4">
        <f>SUM(I7:K7)</f>
        <v>13.61</v>
      </c>
      <c r="M7" s="13">
        <f>AVERAGE(I7:K7)/3</f>
        <v>1.5122222222222221</v>
      </c>
      <c r="P7" t="s">
        <v>6</v>
      </c>
      <c r="Q7" s="26">
        <f t="shared" si="0"/>
        <v>1.3399999999999999</v>
      </c>
      <c r="R7" s="26"/>
      <c r="S7" s="17" t="s">
        <v>40</v>
      </c>
      <c r="T7" s="26">
        <f>Q5</f>
        <v>1.3533333333333333</v>
      </c>
      <c r="U7">
        <f>Q14</f>
        <v>10.065447190812714</v>
      </c>
      <c r="V7" s="26">
        <f>T7+U7</f>
        <v>11.418780524146047</v>
      </c>
      <c r="W7" s="17"/>
      <c r="X7" s="26"/>
      <c r="Y7" s="26"/>
      <c r="Z7" s="26"/>
      <c r="AA7" s="26"/>
      <c r="AB7" s="26"/>
      <c r="AC7" s="17"/>
      <c r="AD7" s="17"/>
    </row>
    <row r="8" spans="1:30" ht="15.75" x14ac:dyDescent="0.25">
      <c r="A8" s="3" t="s">
        <v>6</v>
      </c>
      <c r="B8" s="4">
        <v>1.36</v>
      </c>
      <c r="C8" s="4">
        <v>1.53</v>
      </c>
      <c r="D8" s="4">
        <v>1.1299999999999999</v>
      </c>
      <c r="E8" s="4">
        <f t="shared" si="1"/>
        <v>4.0199999999999996</v>
      </c>
      <c r="F8" s="15">
        <f t="shared" si="2"/>
        <v>1.3399999999999999</v>
      </c>
      <c r="H8" s="4" t="s">
        <v>24</v>
      </c>
      <c r="I8" s="4">
        <f>E8</f>
        <v>4.0199999999999996</v>
      </c>
      <c r="J8" s="4">
        <f>E9</f>
        <v>4.2300000000000004</v>
      </c>
      <c r="K8" s="4">
        <f>E10</f>
        <v>4.95</v>
      </c>
      <c r="L8" s="4">
        <f>SUM(I8:K8)</f>
        <v>13.2</v>
      </c>
      <c r="M8" s="13">
        <f>AVERAGE(I8:K8)/3</f>
        <v>1.4666666666666666</v>
      </c>
      <c r="P8" t="s">
        <v>7</v>
      </c>
      <c r="Q8" s="26">
        <f t="shared" si="0"/>
        <v>1.4100000000000001</v>
      </c>
      <c r="R8" s="26"/>
      <c r="S8" s="17" t="s">
        <v>7</v>
      </c>
      <c r="T8" s="26">
        <f>Q8</f>
        <v>1.4100000000000001</v>
      </c>
      <c r="U8">
        <f>Q14</f>
        <v>10.065447190812714</v>
      </c>
      <c r="V8" s="26">
        <f t="shared" ref="V8:V12" si="3">T8+U8</f>
        <v>11.475447190812714</v>
      </c>
      <c r="W8" s="17"/>
      <c r="X8" s="26"/>
      <c r="Y8" s="26"/>
      <c r="Z8" s="26"/>
      <c r="AA8" s="26"/>
      <c r="AB8" s="26"/>
      <c r="AC8" s="17"/>
      <c r="AD8" s="17"/>
    </row>
    <row r="9" spans="1:30" ht="15.75" x14ac:dyDescent="0.25">
      <c r="A9" s="3" t="s">
        <v>7</v>
      </c>
      <c r="B9" s="4">
        <v>1.29</v>
      </c>
      <c r="C9" s="4">
        <v>1.58</v>
      </c>
      <c r="D9" s="4">
        <v>1.36</v>
      </c>
      <c r="E9" s="4">
        <f t="shared" si="1"/>
        <v>4.2300000000000004</v>
      </c>
      <c r="F9" s="15">
        <f t="shared" si="2"/>
        <v>1.4100000000000001</v>
      </c>
      <c r="H9" s="4" t="s">
        <v>25</v>
      </c>
      <c r="I9" s="4">
        <f>E11</f>
        <v>3.97</v>
      </c>
      <c r="J9" s="4">
        <f>E12</f>
        <v>4.41</v>
      </c>
      <c r="K9" s="4">
        <f>E13</f>
        <v>6.34</v>
      </c>
      <c r="L9" s="4">
        <f>SUM(I9:K9)</f>
        <v>14.72</v>
      </c>
      <c r="M9" s="13">
        <f>AVERAGE(I9:K9)/3</f>
        <v>1.6355555555555557</v>
      </c>
      <c r="P9" t="s">
        <v>8</v>
      </c>
      <c r="Q9" s="26">
        <f t="shared" si="0"/>
        <v>1.6500000000000001</v>
      </c>
      <c r="R9" s="26"/>
      <c r="S9" s="17" t="s">
        <v>10</v>
      </c>
      <c r="T9" s="26">
        <f>Q11</f>
        <v>1.47</v>
      </c>
      <c r="U9">
        <f>Q14</f>
        <v>10.065447190812714</v>
      </c>
      <c r="V9" s="26">
        <f t="shared" si="3"/>
        <v>11.535447190812715</v>
      </c>
      <c r="W9" s="17"/>
      <c r="X9" s="26"/>
      <c r="Y9" s="17"/>
      <c r="Z9" s="17"/>
      <c r="AA9" s="17"/>
      <c r="AB9" s="17"/>
      <c r="AC9" s="17"/>
      <c r="AD9" s="17"/>
    </row>
    <row r="10" spans="1:30" ht="15.75" x14ac:dyDescent="0.25">
      <c r="A10" s="3" t="s">
        <v>8</v>
      </c>
      <c r="B10" s="4">
        <v>1.55</v>
      </c>
      <c r="C10" s="4">
        <v>1.45</v>
      </c>
      <c r="D10" s="4">
        <v>1.95</v>
      </c>
      <c r="E10" s="4">
        <f t="shared" si="1"/>
        <v>4.95</v>
      </c>
      <c r="F10" s="15">
        <f t="shared" si="2"/>
        <v>1.6500000000000001</v>
      </c>
      <c r="H10" s="4" t="s">
        <v>18</v>
      </c>
      <c r="I10" s="4">
        <f>SUM(I7:I9)</f>
        <v>11.82</v>
      </c>
      <c r="J10" s="4">
        <f>SUM(J7:J9)</f>
        <v>12.7</v>
      </c>
      <c r="K10" s="4">
        <f>SUM(K7:K9)</f>
        <v>17.009999999999998</v>
      </c>
      <c r="L10" s="4">
        <f>SUM(L7:L9)</f>
        <v>41.53</v>
      </c>
      <c r="M10" s="6"/>
      <c r="P10" t="s">
        <v>9</v>
      </c>
      <c r="Q10" s="26">
        <f t="shared" si="0"/>
        <v>1.3233333333333335</v>
      </c>
      <c r="R10" s="26"/>
      <c r="S10" s="17" t="s">
        <v>8</v>
      </c>
      <c r="T10" s="26">
        <f>Q9</f>
        <v>1.6500000000000001</v>
      </c>
      <c r="U10">
        <f>Q14</f>
        <v>10.065447190812714</v>
      </c>
      <c r="V10" s="26">
        <f t="shared" si="3"/>
        <v>11.715447190812714</v>
      </c>
      <c r="W10" s="17"/>
      <c r="X10" s="26"/>
      <c r="Y10" s="26"/>
      <c r="Z10" s="17"/>
      <c r="AA10" s="26"/>
      <c r="AB10" s="26"/>
      <c r="AC10" s="17"/>
      <c r="AD10" s="17"/>
    </row>
    <row r="11" spans="1:30" ht="15.75" x14ac:dyDescent="0.25">
      <c r="A11" s="3" t="s">
        <v>9</v>
      </c>
      <c r="B11" s="4">
        <v>1.32</v>
      </c>
      <c r="C11" s="4">
        <v>1.21</v>
      </c>
      <c r="D11" s="4">
        <v>1.44</v>
      </c>
      <c r="E11" s="4">
        <f t="shared" si="1"/>
        <v>3.97</v>
      </c>
      <c r="F11" s="15">
        <f t="shared" si="2"/>
        <v>1.3233333333333335</v>
      </c>
      <c r="H11" s="4" t="s">
        <v>26</v>
      </c>
      <c r="I11" s="4">
        <f>AVERAGE(I7:I9)/3</f>
        <v>1.3133333333333332</v>
      </c>
      <c r="J11" s="13">
        <f>AVERAGE(J7:J9)/3</f>
        <v>1.4111111111111112</v>
      </c>
      <c r="K11" s="13">
        <f>AVERAGE(K7:K9)/3</f>
        <v>1.8899999999999997</v>
      </c>
      <c r="L11" s="9"/>
      <c r="M11" s="9"/>
      <c r="P11" t="s">
        <v>10</v>
      </c>
      <c r="Q11" s="26">
        <f t="shared" si="0"/>
        <v>1.47</v>
      </c>
      <c r="R11" s="26"/>
      <c r="S11" s="17" t="s">
        <v>39</v>
      </c>
      <c r="T11" s="17">
        <v>1.91</v>
      </c>
      <c r="U11">
        <f>Q14</f>
        <v>10.065447190812714</v>
      </c>
      <c r="V11" s="26">
        <f t="shared" si="3"/>
        <v>11.975447190812714</v>
      </c>
      <c r="W11" s="17"/>
      <c r="X11" s="26"/>
      <c r="Y11" s="26"/>
      <c r="Z11" s="26"/>
      <c r="AA11" s="26"/>
      <c r="AB11" s="26"/>
      <c r="AC11" s="17"/>
      <c r="AD11" s="17"/>
    </row>
    <row r="12" spans="1:30" ht="15.75" x14ac:dyDescent="0.25">
      <c r="A12" s="3" t="s">
        <v>10</v>
      </c>
      <c r="B12" s="4">
        <v>1.39</v>
      </c>
      <c r="C12" s="4">
        <v>1.53</v>
      </c>
      <c r="D12" s="4">
        <v>1.49</v>
      </c>
      <c r="E12" s="4">
        <f t="shared" si="1"/>
        <v>4.41</v>
      </c>
      <c r="F12" s="15">
        <f t="shared" si="2"/>
        <v>1.47</v>
      </c>
      <c r="H12" s="7" t="s">
        <v>12</v>
      </c>
      <c r="I12" s="16">
        <f>(E14^2)/27</f>
        <v>63.879292592592591</v>
      </c>
      <c r="J12" s="5"/>
      <c r="K12" s="5"/>
      <c r="L12" s="5"/>
      <c r="M12" s="5"/>
      <c r="P12" s="31" t="s">
        <v>11</v>
      </c>
      <c r="Q12" s="38">
        <f t="shared" si="0"/>
        <v>2.1133333333333333</v>
      </c>
      <c r="R12" s="26"/>
      <c r="S12" s="17" t="s">
        <v>11</v>
      </c>
      <c r="T12" s="17">
        <v>2.11</v>
      </c>
      <c r="U12">
        <f>Q14</f>
        <v>10.065447190812714</v>
      </c>
      <c r="V12" s="26">
        <f t="shared" si="3"/>
        <v>12.175447190812713</v>
      </c>
      <c r="W12" s="17"/>
      <c r="X12" s="26"/>
      <c r="Y12" s="26"/>
      <c r="Z12" s="26"/>
      <c r="AA12" s="26"/>
      <c r="AB12" s="26"/>
      <c r="AC12" s="17"/>
      <c r="AD12" s="17"/>
    </row>
    <row r="13" spans="1:30" ht="15.75" x14ac:dyDescent="0.25">
      <c r="A13" s="3" t="s">
        <v>11</v>
      </c>
      <c r="B13" s="4">
        <v>2.02</v>
      </c>
      <c r="C13" s="4">
        <v>2.13</v>
      </c>
      <c r="D13" s="4">
        <v>2.19</v>
      </c>
      <c r="E13" s="4">
        <f t="shared" si="1"/>
        <v>6.34</v>
      </c>
      <c r="F13" s="15">
        <f t="shared" si="2"/>
        <v>2.1133333333333333</v>
      </c>
      <c r="Q13" s="17"/>
      <c r="R13" s="26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</row>
    <row r="14" spans="1:30" ht="15.75" x14ac:dyDescent="0.25">
      <c r="A14" s="3" t="s">
        <v>19</v>
      </c>
      <c r="B14" s="4">
        <f>SUM(B5:B13)</f>
        <v>13.41</v>
      </c>
      <c r="C14" s="4">
        <f>SUM(C5:C13)</f>
        <v>14.54</v>
      </c>
      <c r="D14" s="4">
        <f>SUM(D5:D13)</f>
        <v>13.579999999999998</v>
      </c>
      <c r="E14" s="4">
        <f>SUM(E5:E13)</f>
        <v>41.53</v>
      </c>
      <c r="F14" s="11"/>
      <c r="P14" t="s">
        <v>37</v>
      </c>
      <c r="Q14" s="17">
        <f>5.031*((K22/9)^0.5)</f>
        <v>10.065447190812714</v>
      </c>
      <c r="R14" s="26"/>
      <c r="S14" s="17"/>
      <c r="T14" s="17"/>
      <c r="U14" s="17"/>
      <c r="V14" s="17"/>
    </row>
    <row r="15" spans="1:30" ht="15.75" x14ac:dyDescent="0.25">
      <c r="A15" s="1"/>
      <c r="H15" s="110" t="s">
        <v>27</v>
      </c>
      <c r="I15" s="110"/>
      <c r="J15" s="110"/>
      <c r="K15" s="5"/>
      <c r="L15" s="5"/>
      <c r="M15" s="5"/>
      <c r="N15" s="5"/>
      <c r="O15" s="5"/>
      <c r="Q15" s="17"/>
      <c r="R15" s="17"/>
      <c r="S15" s="17"/>
      <c r="T15" s="17"/>
      <c r="U15" s="17"/>
      <c r="V15" s="17"/>
      <c r="W15" s="29"/>
      <c r="X15" s="47"/>
    </row>
    <row r="16" spans="1:30" ht="15.75" x14ac:dyDescent="0.25">
      <c r="A16" s="1"/>
      <c r="H16" s="86" t="s">
        <v>13</v>
      </c>
      <c r="I16" s="86" t="s">
        <v>14</v>
      </c>
      <c r="J16" s="86" t="s">
        <v>15</v>
      </c>
      <c r="K16" s="86" t="s">
        <v>16</v>
      </c>
      <c r="L16" s="86" t="s">
        <v>32</v>
      </c>
      <c r="M16" s="86"/>
      <c r="N16" s="86" t="s">
        <v>33</v>
      </c>
      <c r="O16" s="86" t="s">
        <v>34</v>
      </c>
      <c r="Q16" s="17"/>
      <c r="R16" s="39" t="s">
        <v>55</v>
      </c>
      <c r="S16" s="39" t="s">
        <v>107</v>
      </c>
      <c r="T16" s="17"/>
      <c r="U16" s="17"/>
      <c r="V16" s="17"/>
      <c r="W16" s="17"/>
      <c r="X16" s="5"/>
    </row>
    <row r="17" spans="1:24" ht="15.75" x14ac:dyDescent="0.25">
      <c r="A17" s="1"/>
      <c r="H17" s="5" t="s">
        <v>28</v>
      </c>
      <c r="I17" s="47">
        <v>2</v>
      </c>
      <c r="J17" s="46">
        <f>SUMSQ(B14:D14)/9-I12</f>
        <v>8.2496296296291405E-2</v>
      </c>
      <c r="K17" s="46">
        <f t="shared" ref="K17:K22" si="4">J17/I17</f>
        <v>4.1248148148145702E-2</v>
      </c>
      <c r="L17" s="46">
        <f>K17/K22</f>
        <v>1.1449972179879983E-3</v>
      </c>
      <c r="M17" s="47" t="str">
        <f>IF(L17&lt;N17,"tn",IF(L17&lt;O17,"*","**"))</f>
        <v>tn</v>
      </c>
      <c r="N17" s="46">
        <f>FINV(0.05,I17,I22)</f>
        <v>3.6337234675916301</v>
      </c>
      <c r="O17" s="46">
        <f>FINV(0.001,I17,I22)</f>
        <v>10.970989645293242</v>
      </c>
      <c r="Q17" s="17"/>
      <c r="R17" s="26" t="s">
        <v>41</v>
      </c>
      <c r="S17" s="26">
        <f>M7</f>
        <v>1.5122222222222221</v>
      </c>
      <c r="T17" s="26"/>
      <c r="U17" s="17"/>
      <c r="V17" s="17"/>
      <c r="W17" s="17"/>
      <c r="X17" s="46"/>
    </row>
    <row r="18" spans="1:24" ht="15.75" x14ac:dyDescent="0.25">
      <c r="A18" s="1"/>
      <c r="H18" s="5" t="s">
        <v>29</v>
      </c>
      <c r="I18" s="47">
        <v>8</v>
      </c>
      <c r="J18" s="46">
        <f>SUMSQ(E5:E13)/3-I12</f>
        <v>2.0644740740740701</v>
      </c>
      <c r="K18" s="46">
        <f t="shared" si="4"/>
        <v>0.25805925925925877</v>
      </c>
      <c r="L18" s="46">
        <f>K18/K22</f>
        <v>7.1634036240043417E-3</v>
      </c>
      <c r="M18" s="47" t="str">
        <f>IF(L18&lt;N18,"tn",IF(L18&lt;O18,"*","**"))</f>
        <v>tn</v>
      </c>
      <c r="N18" s="46">
        <f>FINV(0.05,I18,I22)</f>
        <v>2.5910961798744014</v>
      </c>
      <c r="O18" s="46">
        <f>FINV(0.01,I18,I22)</f>
        <v>3.8895721399261927</v>
      </c>
      <c r="Q18" s="17"/>
      <c r="R18" s="26" t="s">
        <v>24</v>
      </c>
      <c r="S18" s="26">
        <f>M8</f>
        <v>1.4666666666666666</v>
      </c>
      <c r="T18" s="26"/>
      <c r="U18" s="17"/>
      <c r="V18" s="17"/>
      <c r="W18" s="17"/>
      <c r="X18" s="46"/>
    </row>
    <row r="19" spans="1:24" ht="15.75" x14ac:dyDescent="0.25">
      <c r="A19" s="1"/>
      <c r="H19" s="5" t="s">
        <v>30</v>
      </c>
      <c r="I19" s="47">
        <v>2</v>
      </c>
      <c r="J19" s="46">
        <f>SUMSQ(L7:L9)/9-I12</f>
        <v>0.13742962962962224</v>
      </c>
      <c r="K19" s="46">
        <f t="shared" si="4"/>
        <v>6.871481481481112E-2</v>
      </c>
      <c r="L19" s="46">
        <f>K19/K22</f>
        <v>1.90743767489732E-3</v>
      </c>
      <c r="M19" s="47" t="str">
        <f>IF(L19&lt;N19,"tn",IF(L19&lt;O19,"*","**"))</f>
        <v>tn</v>
      </c>
      <c r="N19" s="46">
        <f>FINV(0.05,I19,I22)</f>
        <v>3.6337234675916301</v>
      </c>
      <c r="O19" s="46">
        <f>FINV(0.01,I19,I22)</f>
        <v>6.2262352803113821</v>
      </c>
      <c r="Q19" s="17"/>
      <c r="R19" s="38" t="s">
        <v>25</v>
      </c>
      <c r="S19" s="38">
        <f>M9</f>
        <v>1.6355555555555557</v>
      </c>
      <c r="T19" s="26"/>
      <c r="U19" s="17"/>
      <c r="V19" s="17"/>
      <c r="W19" s="17"/>
      <c r="X19" s="48"/>
    </row>
    <row r="20" spans="1:24" ht="15.75" x14ac:dyDescent="0.25">
      <c r="A20" s="1"/>
      <c r="H20" s="5" t="s">
        <v>31</v>
      </c>
      <c r="I20" s="47">
        <v>2</v>
      </c>
      <c r="J20" s="46">
        <f>SUMSQ(I10:K10)/9-I12</f>
        <v>1.7143185185185104</v>
      </c>
      <c r="K20" s="46">
        <f t="shared" si="4"/>
        <v>0.85715925925925518</v>
      </c>
      <c r="L20" s="46">
        <f>K20/K22</f>
        <v>2.3793673444431254E-2</v>
      </c>
      <c r="M20" s="47" t="str">
        <f>IF(L20&lt;N20,"tn",IF(L20&lt;O20,"*","**"))</f>
        <v>tn</v>
      </c>
      <c r="N20" s="46">
        <f>FINV(0.05,I20,I22)</f>
        <v>3.6337234675916301</v>
      </c>
      <c r="O20" s="46">
        <f>FINV(0.01,I20,I22)</f>
        <v>6.2262352803113821</v>
      </c>
      <c r="Q20" s="17"/>
      <c r="R20" s="93" t="s">
        <v>37</v>
      </c>
      <c r="S20" s="93" t="s">
        <v>60</v>
      </c>
      <c r="T20" s="26"/>
      <c r="U20" s="17"/>
      <c r="V20" s="17"/>
      <c r="W20" s="17"/>
      <c r="X20" s="46"/>
    </row>
    <row r="21" spans="1:24" ht="15.75" x14ac:dyDescent="0.25">
      <c r="H21" s="5" t="s">
        <v>35</v>
      </c>
      <c r="I21" s="47">
        <v>4</v>
      </c>
      <c r="J21" s="46">
        <f>J18-J19-J20</f>
        <v>0.21272592592593753</v>
      </c>
      <c r="K21" s="46">
        <f t="shared" si="4"/>
        <v>5.3181481481484383E-2</v>
      </c>
      <c r="L21" s="46">
        <f>K21/K22</f>
        <v>1.4762516883443963E-3</v>
      </c>
      <c r="M21" s="47" t="str">
        <f>IF(L21&lt;N21,"tn",IF(L21&lt;O21,"*","**"))</f>
        <v>tn</v>
      </c>
      <c r="N21" s="46">
        <f>FINV(0.05,I21,I22)</f>
        <v>3.0069172799243447</v>
      </c>
      <c r="O21" s="46">
        <f>FINV(0.01,I21,I22)</f>
        <v>4.772577999723211</v>
      </c>
      <c r="Q21" s="17"/>
      <c r="R21" s="26" t="s">
        <v>21</v>
      </c>
      <c r="S21" s="26">
        <f>I11</f>
        <v>1.3133333333333332</v>
      </c>
      <c r="T21" s="26"/>
      <c r="U21" s="17"/>
      <c r="V21" s="17"/>
      <c r="W21" s="17"/>
      <c r="X21" s="46"/>
    </row>
    <row r="22" spans="1:24" ht="15.75" x14ac:dyDescent="0.25">
      <c r="H22" s="5" t="s">
        <v>17</v>
      </c>
      <c r="I22" s="47">
        <v>16</v>
      </c>
      <c r="J22" s="46">
        <f>J23-J17-J18</f>
        <v>576.39473703703698</v>
      </c>
      <c r="K22" s="46">
        <f t="shared" si="4"/>
        <v>36.024671064814811</v>
      </c>
      <c r="L22" s="83"/>
      <c r="M22" s="9"/>
      <c r="N22" s="9"/>
      <c r="O22" s="9"/>
      <c r="Q22" s="17"/>
      <c r="R22" s="26" t="s">
        <v>22</v>
      </c>
      <c r="S22" s="26">
        <f>J11</f>
        <v>1.4111111111111112</v>
      </c>
      <c r="T22" s="26"/>
      <c r="U22" s="17"/>
      <c r="V22" s="17"/>
      <c r="W22" s="17"/>
      <c r="X22" s="46"/>
    </row>
    <row r="23" spans="1:24" ht="15.75" x14ac:dyDescent="0.25">
      <c r="H23" s="88" t="s">
        <v>18</v>
      </c>
      <c r="I23" s="86">
        <v>26</v>
      </c>
      <c r="J23" s="87">
        <f>SUMSQ(B5:D14)-I12</f>
        <v>578.54170740740733</v>
      </c>
      <c r="K23" s="84"/>
      <c r="L23" s="84"/>
      <c r="M23" s="85"/>
      <c r="N23" s="85"/>
      <c r="O23" s="85"/>
      <c r="Q23" s="17"/>
      <c r="R23" s="26" t="s">
        <v>23</v>
      </c>
      <c r="S23" s="26">
        <f>K11</f>
        <v>1.8899999999999997</v>
      </c>
      <c r="T23" s="26"/>
      <c r="U23" s="17"/>
      <c r="V23" s="17"/>
      <c r="W23" s="17"/>
      <c r="X23" s="48"/>
    </row>
    <row r="24" spans="1:24" x14ac:dyDescent="0.25">
      <c r="Q24" s="17"/>
      <c r="R24" s="93" t="s">
        <v>37</v>
      </c>
      <c r="S24" s="93" t="s">
        <v>60</v>
      </c>
      <c r="T24" s="26"/>
      <c r="U24" s="17"/>
      <c r="V24" s="17"/>
    </row>
    <row r="25" spans="1:24" ht="15.75" x14ac:dyDescent="0.25">
      <c r="H25" s="5"/>
      <c r="I25" s="26"/>
      <c r="Q25" s="17"/>
      <c r="R25" s="26"/>
      <c r="S25" s="26"/>
      <c r="T25" s="26"/>
      <c r="U25" s="17"/>
      <c r="V25" s="17"/>
    </row>
    <row r="27" spans="1:24" x14ac:dyDescent="0.25">
      <c r="Q27" s="8"/>
    </row>
  </sheetData>
  <mergeCells count="12">
    <mergeCell ref="M5:M6"/>
    <mergeCell ref="H4:I4"/>
    <mergeCell ref="H5:H6"/>
    <mergeCell ref="I5:K5"/>
    <mergeCell ref="H15:J15"/>
    <mergeCell ref="L5:L6"/>
    <mergeCell ref="P3:Q3"/>
    <mergeCell ref="A2:B2"/>
    <mergeCell ref="A3:A4"/>
    <mergeCell ref="E3:E4"/>
    <mergeCell ref="F3:F4"/>
    <mergeCell ref="B3:D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31D7B-0A4C-4A83-85F3-35F72EF779D1}">
  <dimension ref="A1:AF23"/>
  <sheetViews>
    <sheetView workbookViewId="0">
      <selection activeCell="Z9" sqref="Z9"/>
    </sheetView>
  </sheetViews>
  <sheetFormatPr defaultRowHeight="15" x14ac:dyDescent="0.25"/>
  <cols>
    <col min="6" max="6" width="9.5703125" bestFit="1" customWidth="1"/>
    <col min="7" max="7" width="5.5703125" customWidth="1"/>
    <col min="13" max="13" width="8.7109375" customWidth="1"/>
    <col min="16" max="16" width="5.7109375" customWidth="1"/>
    <col min="19" max="19" width="6" customWidth="1"/>
    <col min="20" max="20" width="10.28515625" customWidth="1"/>
    <col min="21" max="21" width="14.7109375" customWidth="1"/>
    <col min="22" max="22" width="10" customWidth="1"/>
    <col min="25" max="25" width="9.140625" customWidth="1"/>
    <col min="27" max="27" width="9.85546875" customWidth="1"/>
    <col min="30" max="30" width="13.5703125" customWidth="1"/>
    <col min="31" max="31" width="13.42578125" customWidth="1"/>
    <col min="32" max="32" width="13.140625" customWidth="1"/>
  </cols>
  <sheetData>
    <row r="1" spans="1:32" x14ac:dyDescent="0.25">
      <c r="A1" s="116" t="s">
        <v>69</v>
      </c>
      <c r="B1" s="116"/>
      <c r="C1" s="116"/>
    </row>
    <row r="2" spans="1:32" x14ac:dyDescent="0.25">
      <c r="A2" s="117" t="s">
        <v>29</v>
      </c>
      <c r="B2" s="118" t="s">
        <v>44</v>
      </c>
      <c r="C2" s="118"/>
      <c r="D2" s="118"/>
      <c r="E2" s="117" t="s">
        <v>45</v>
      </c>
      <c r="F2" s="117" t="s">
        <v>46</v>
      </c>
      <c r="T2" s="100" t="s">
        <v>0</v>
      </c>
      <c r="U2" s="100" t="s">
        <v>36</v>
      </c>
      <c r="V2" s="100"/>
      <c r="W2" s="100" t="s">
        <v>64</v>
      </c>
    </row>
    <row r="3" spans="1:32" x14ac:dyDescent="0.25">
      <c r="A3" s="117"/>
      <c r="B3" s="10" t="s">
        <v>2</v>
      </c>
      <c r="C3" s="10" t="s">
        <v>3</v>
      </c>
      <c r="D3" s="10" t="s">
        <v>4</v>
      </c>
      <c r="E3" s="117"/>
      <c r="F3" s="117"/>
      <c r="H3" s="119" t="s">
        <v>52</v>
      </c>
      <c r="I3" s="119"/>
      <c r="Q3" s="104" t="s">
        <v>57</v>
      </c>
      <c r="R3" s="104"/>
      <c r="T3" s="94" t="s">
        <v>40</v>
      </c>
      <c r="U3" s="95">
        <v>0.21999999999999997</v>
      </c>
      <c r="V3" s="95">
        <f>U3+R$14</f>
        <v>0.27859764883046462</v>
      </c>
      <c r="W3" s="96" t="s">
        <v>58</v>
      </c>
      <c r="X3" s="34"/>
    </row>
    <row r="4" spans="1:32" x14ac:dyDescent="0.25">
      <c r="A4" s="10" t="s">
        <v>38</v>
      </c>
      <c r="B4" s="10">
        <v>0.252</v>
      </c>
      <c r="C4" s="10">
        <v>0.27100000000000002</v>
      </c>
      <c r="D4" s="10">
        <v>0.22500000000000001</v>
      </c>
      <c r="E4" s="10">
        <f t="shared" ref="E4:E12" si="0">SUM(B4:D4)</f>
        <v>0.748</v>
      </c>
      <c r="F4" s="89">
        <f>E4/3</f>
        <v>0.24933333333333332</v>
      </c>
      <c r="H4" s="117" t="s">
        <v>30</v>
      </c>
      <c r="I4" s="118" t="s">
        <v>31</v>
      </c>
      <c r="J4" s="118"/>
      <c r="K4" s="118"/>
      <c r="L4" s="117" t="s">
        <v>45</v>
      </c>
      <c r="M4" s="117" t="s">
        <v>26</v>
      </c>
      <c r="Q4" t="s">
        <v>38</v>
      </c>
      <c r="R4" s="30">
        <f>F4</f>
        <v>0.24933333333333332</v>
      </c>
      <c r="T4" s="94" t="s">
        <v>6</v>
      </c>
      <c r="U4" s="95">
        <v>0.24099999999999999</v>
      </c>
      <c r="V4" s="95">
        <f t="shared" ref="V4:V11" si="1">U4+R$14</f>
        <v>0.29959764883046464</v>
      </c>
      <c r="W4" s="96" t="s">
        <v>61</v>
      </c>
      <c r="X4" s="34"/>
      <c r="Y4" s="65"/>
    </row>
    <row r="5" spans="1:32" x14ac:dyDescent="0.25">
      <c r="A5" s="10" t="s">
        <v>40</v>
      </c>
      <c r="B5" s="10">
        <v>0.254</v>
      </c>
      <c r="C5" s="10">
        <v>0.20699999999999999</v>
      </c>
      <c r="D5" s="10">
        <v>0.19900000000000001</v>
      </c>
      <c r="E5" s="10">
        <f t="shared" si="0"/>
        <v>0.65999999999999992</v>
      </c>
      <c r="F5" s="89">
        <f t="shared" ref="F5:F12" si="2">E5/3</f>
        <v>0.21999999999999997</v>
      </c>
      <c r="H5" s="117"/>
      <c r="I5" s="10" t="s">
        <v>21</v>
      </c>
      <c r="J5" s="10" t="s">
        <v>22</v>
      </c>
      <c r="K5" s="10" t="s">
        <v>23</v>
      </c>
      <c r="L5" s="117"/>
      <c r="M5" s="117"/>
      <c r="Q5" t="s">
        <v>40</v>
      </c>
      <c r="R5">
        <f t="shared" ref="R5:R12" si="3">F5</f>
        <v>0.21999999999999997</v>
      </c>
      <c r="T5" s="94" t="s">
        <v>38</v>
      </c>
      <c r="U5" s="95">
        <v>0.24933333333333332</v>
      </c>
      <c r="V5" s="95">
        <f t="shared" si="1"/>
        <v>0.30793098216379799</v>
      </c>
      <c r="W5" s="96" t="s">
        <v>61</v>
      </c>
      <c r="X5" s="90"/>
      <c r="Y5" s="65"/>
      <c r="Z5" s="65"/>
    </row>
    <row r="6" spans="1:32" x14ac:dyDescent="0.25">
      <c r="A6" s="10" t="s">
        <v>39</v>
      </c>
      <c r="B6" s="10">
        <v>0.32900000000000001</v>
      </c>
      <c r="C6" s="10">
        <v>0.27900000000000003</v>
      </c>
      <c r="D6" s="10">
        <v>0.24299999999999999</v>
      </c>
      <c r="E6" s="10">
        <f t="shared" si="0"/>
        <v>0.85100000000000009</v>
      </c>
      <c r="F6" s="89">
        <f t="shared" si="2"/>
        <v>0.28366666666666668</v>
      </c>
      <c r="H6" s="2" t="s">
        <v>41</v>
      </c>
      <c r="I6" s="2">
        <f>E4</f>
        <v>0.748</v>
      </c>
      <c r="J6" s="2">
        <f>E5</f>
        <v>0.65999999999999992</v>
      </c>
      <c r="K6" s="2">
        <f>E6</f>
        <v>0.85100000000000009</v>
      </c>
      <c r="L6" s="2">
        <f>SUM(I6:K6)</f>
        <v>2.2589999999999999</v>
      </c>
      <c r="M6" s="2">
        <f>AVERAGE(I6:K6)/3</f>
        <v>0.251</v>
      </c>
      <c r="Q6" t="s">
        <v>39</v>
      </c>
      <c r="R6">
        <f t="shared" si="3"/>
        <v>0.28366666666666668</v>
      </c>
      <c r="T6" s="94" t="s">
        <v>39</v>
      </c>
      <c r="U6" s="95">
        <v>0.25333333333333335</v>
      </c>
      <c r="V6" s="95">
        <f t="shared" si="1"/>
        <v>0.311930982163798</v>
      </c>
      <c r="W6" s="96" t="s">
        <v>61</v>
      </c>
      <c r="X6" s="90"/>
      <c r="Y6" s="65"/>
      <c r="Z6" s="65"/>
      <c r="AA6" s="65"/>
      <c r="AD6" s="8"/>
    </row>
    <row r="7" spans="1:32" x14ac:dyDescent="0.25">
      <c r="A7" s="10" t="s">
        <v>6</v>
      </c>
      <c r="B7" s="10">
        <v>0.20200000000000001</v>
      </c>
      <c r="C7" s="10">
        <v>0.25900000000000001</v>
      </c>
      <c r="D7" s="10">
        <v>0.29899999999999999</v>
      </c>
      <c r="E7" s="10">
        <f t="shared" si="0"/>
        <v>0.76</v>
      </c>
      <c r="F7" s="89">
        <f t="shared" si="2"/>
        <v>0.25333333333333335</v>
      </c>
      <c r="H7" s="2" t="s">
        <v>24</v>
      </c>
      <c r="I7" s="2">
        <f>E7</f>
        <v>0.76</v>
      </c>
      <c r="J7" s="2">
        <f>E8</f>
        <v>0.72299999999999998</v>
      </c>
      <c r="K7" s="2">
        <f>E9</f>
        <v>1.3620000000000001</v>
      </c>
      <c r="L7" s="2">
        <f>SUM(I7:K7)</f>
        <v>2.8450000000000002</v>
      </c>
      <c r="M7" s="2">
        <f>AVERAGE(I7:K7)/3</f>
        <v>0.31611111111111112</v>
      </c>
      <c r="Q7" t="s">
        <v>6</v>
      </c>
      <c r="R7">
        <f t="shared" si="3"/>
        <v>0.25333333333333335</v>
      </c>
      <c r="T7" s="94" t="s">
        <v>8</v>
      </c>
      <c r="U7" s="95">
        <v>0.28366666666666668</v>
      </c>
      <c r="V7" s="95">
        <f t="shared" si="1"/>
        <v>0.34226431549713132</v>
      </c>
      <c r="W7" s="96" t="s">
        <v>62</v>
      </c>
      <c r="Y7" s="65"/>
      <c r="Z7" s="65"/>
      <c r="AA7" s="65"/>
      <c r="AB7" s="65"/>
    </row>
    <row r="8" spans="1:32" x14ac:dyDescent="0.25">
      <c r="A8" s="10" t="s">
        <v>7</v>
      </c>
      <c r="B8" s="10">
        <v>0.27800000000000002</v>
      </c>
      <c r="C8" s="10">
        <v>0.216</v>
      </c>
      <c r="D8" s="10">
        <v>0.22900000000000001</v>
      </c>
      <c r="E8" s="10">
        <f t="shared" si="0"/>
        <v>0.72299999999999998</v>
      </c>
      <c r="F8" s="89">
        <f t="shared" si="2"/>
        <v>0.24099999999999999</v>
      </c>
      <c r="H8" s="2" t="s">
        <v>25</v>
      </c>
      <c r="I8" s="2">
        <f>E10</f>
        <v>1.3780000000000001</v>
      </c>
      <c r="J8" s="2">
        <f>E11</f>
        <v>1.0720000000000001</v>
      </c>
      <c r="K8" s="2">
        <f>E12</f>
        <v>1.1739999999999999</v>
      </c>
      <c r="L8" s="2">
        <f>SUM(I8:K8)</f>
        <v>3.6240000000000001</v>
      </c>
      <c r="M8" s="2">
        <f>AVERAGE(I8:K8)/3</f>
        <v>0.40266666666666667</v>
      </c>
      <c r="Q8" t="s">
        <v>7</v>
      </c>
      <c r="R8">
        <f t="shared" si="3"/>
        <v>0.24099999999999999</v>
      </c>
      <c r="T8" s="94" t="s">
        <v>11</v>
      </c>
      <c r="U8" s="95">
        <v>0.35733333333333334</v>
      </c>
      <c r="V8" s="95">
        <f t="shared" si="1"/>
        <v>0.41593098216379798</v>
      </c>
      <c r="W8" s="96" t="s">
        <v>98</v>
      </c>
      <c r="AC8" s="91"/>
    </row>
    <row r="9" spans="1:32" x14ac:dyDescent="0.25">
      <c r="A9" s="10" t="s">
        <v>8</v>
      </c>
      <c r="B9" s="10">
        <v>0.46800000000000003</v>
      </c>
      <c r="C9" s="10">
        <v>0.41299999999999998</v>
      </c>
      <c r="D9" s="10">
        <v>0.48099999999999998</v>
      </c>
      <c r="E9" s="10">
        <f t="shared" si="0"/>
        <v>1.3620000000000001</v>
      </c>
      <c r="F9" s="89">
        <f t="shared" si="2"/>
        <v>0.45400000000000001</v>
      </c>
      <c r="H9" s="2" t="s">
        <v>45</v>
      </c>
      <c r="I9" s="2">
        <f>SUM(I6:I8)</f>
        <v>2.8860000000000001</v>
      </c>
      <c r="J9" s="2">
        <f>SUM(J6:J8)</f>
        <v>2.4550000000000001</v>
      </c>
      <c r="K9" s="2">
        <f>SUM(K6:K8)</f>
        <v>3.387</v>
      </c>
      <c r="L9">
        <f>SUM(L6:L8)</f>
        <v>8.7279999999999998</v>
      </c>
      <c r="M9" s="11"/>
      <c r="Q9" t="s">
        <v>8</v>
      </c>
      <c r="R9">
        <f t="shared" si="3"/>
        <v>0.45400000000000001</v>
      </c>
      <c r="T9" s="94" t="s">
        <v>10</v>
      </c>
      <c r="U9" s="95">
        <v>0.39133333333333331</v>
      </c>
      <c r="V9" s="95">
        <f t="shared" si="1"/>
        <v>0.44993098216379795</v>
      </c>
      <c r="W9" s="96" t="s">
        <v>98</v>
      </c>
      <c r="AC9" s="91"/>
      <c r="AD9" s="91"/>
    </row>
    <row r="10" spans="1:32" x14ac:dyDescent="0.25">
      <c r="A10" s="10" t="s">
        <v>9</v>
      </c>
      <c r="B10" s="10">
        <v>0.47599999999999998</v>
      </c>
      <c r="C10" s="10">
        <v>0.45300000000000001</v>
      </c>
      <c r="D10" s="10">
        <v>0.44900000000000001</v>
      </c>
      <c r="E10" s="10">
        <f t="shared" si="0"/>
        <v>1.3780000000000001</v>
      </c>
      <c r="F10" s="89">
        <f t="shared" si="2"/>
        <v>0.45933333333333337</v>
      </c>
      <c r="H10" s="2" t="s">
        <v>26</v>
      </c>
      <c r="I10" s="2">
        <f>AVERAGE(I6:I8)/3</f>
        <v>0.32066666666666671</v>
      </c>
      <c r="J10" s="2">
        <f>AVERAGE(J6:J8)/3</f>
        <v>0.27277777777777779</v>
      </c>
      <c r="K10" s="2">
        <f>AVERAGE(K6:K8)/3</f>
        <v>0.37633333333333335</v>
      </c>
      <c r="L10" s="11"/>
      <c r="M10" s="11"/>
      <c r="Q10" t="s">
        <v>9</v>
      </c>
      <c r="R10">
        <f t="shared" si="3"/>
        <v>0.45933333333333337</v>
      </c>
      <c r="T10" s="94" t="s">
        <v>9</v>
      </c>
      <c r="U10" s="95">
        <v>0.45400000000000001</v>
      </c>
      <c r="V10" s="95">
        <f t="shared" si="1"/>
        <v>0.51259764883046466</v>
      </c>
      <c r="W10" s="96" t="s">
        <v>105</v>
      </c>
      <c r="AE10" s="92"/>
    </row>
    <row r="11" spans="1:32" x14ac:dyDescent="0.25">
      <c r="A11" s="10" t="s">
        <v>10</v>
      </c>
      <c r="B11" s="10">
        <v>0.38700000000000001</v>
      </c>
      <c r="C11" s="10">
        <v>0.38600000000000001</v>
      </c>
      <c r="D11" s="10">
        <v>0.29899999999999999</v>
      </c>
      <c r="E11" s="10">
        <f t="shared" si="0"/>
        <v>1.0720000000000001</v>
      </c>
      <c r="F11" s="89">
        <f t="shared" si="2"/>
        <v>0.35733333333333334</v>
      </c>
      <c r="H11" t="s">
        <v>12</v>
      </c>
      <c r="I11" s="30">
        <f>(E13^2)/27</f>
        <v>2.8214068148148148</v>
      </c>
      <c r="Q11" t="s">
        <v>10</v>
      </c>
      <c r="R11">
        <f t="shared" si="3"/>
        <v>0.35733333333333334</v>
      </c>
      <c r="T11" s="97" t="s">
        <v>7</v>
      </c>
      <c r="U11" s="98">
        <v>0.45933333333333337</v>
      </c>
      <c r="V11" s="98">
        <f t="shared" si="1"/>
        <v>0.51793098216379807</v>
      </c>
      <c r="W11" s="99" t="s">
        <v>105</v>
      </c>
      <c r="AE11" s="92"/>
      <c r="AF11" s="92"/>
    </row>
    <row r="12" spans="1:32" x14ac:dyDescent="0.25">
      <c r="A12" s="10" t="s">
        <v>11</v>
      </c>
      <c r="B12" s="10">
        <v>0.378</v>
      </c>
      <c r="C12" s="10">
        <v>0.40899999999999997</v>
      </c>
      <c r="D12" s="10">
        <v>0.38700000000000001</v>
      </c>
      <c r="E12" s="10">
        <f t="shared" si="0"/>
        <v>1.1739999999999999</v>
      </c>
      <c r="F12" s="89">
        <f t="shared" si="2"/>
        <v>0.39133333333333331</v>
      </c>
      <c r="Q12" s="31" t="s">
        <v>11</v>
      </c>
      <c r="R12" s="31">
        <f t="shared" si="3"/>
        <v>0.39133333333333331</v>
      </c>
      <c r="T12" s="113" t="s">
        <v>37</v>
      </c>
      <c r="U12" s="113"/>
      <c r="V12" s="113"/>
      <c r="W12" s="100">
        <v>5.8999999999999997E-2</v>
      </c>
      <c r="Z12" s="111" t="s">
        <v>108</v>
      </c>
      <c r="AA12" s="111"/>
      <c r="AB12" s="111"/>
      <c r="AC12" s="111"/>
      <c r="AD12" s="111"/>
      <c r="AE12" s="111"/>
      <c r="AF12" s="111"/>
    </row>
    <row r="13" spans="1:32" x14ac:dyDescent="0.25">
      <c r="A13" s="10" t="s">
        <v>18</v>
      </c>
      <c r="B13" s="10">
        <f>SUM(B4:B12)</f>
        <v>3.024</v>
      </c>
      <c r="C13" s="10">
        <f>SUM(C4:C12)</f>
        <v>2.8929999999999998</v>
      </c>
      <c r="D13" s="10">
        <f>SUM(D4:D12)</f>
        <v>2.8109999999999999</v>
      </c>
      <c r="E13" s="10">
        <f>SUM(E4:E12)</f>
        <v>8.7279999999999998</v>
      </c>
      <c r="F13" s="73"/>
      <c r="H13" s="119" t="s">
        <v>27</v>
      </c>
      <c r="I13" s="119"/>
      <c r="Z13" s="114" t="s">
        <v>109</v>
      </c>
      <c r="AA13" s="114"/>
      <c r="AB13" s="114"/>
      <c r="AC13" s="114"/>
      <c r="AD13" s="111" t="s">
        <v>113</v>
      </c>
      <c r="AE13" s="111"/>
      <c r="AF13" s="111"/>
    </row>
    <row r="14" spans="1:32" x14ac:dyDescent="0.25">
      <c r="H14" s="10" t="s">
        <v>13</v>
      </c>
      <c r="I14" s="10" t="s">
        <v>14</v>
      </c>
      <c r="J14" s="10" t="s">
        <v>15</v>
      </c>
      <c r="K14" s="10" t="s">
        <v>16</v>
      </c>
      <c r="L14" s="10" t="s">
        <v>32</v>
      </c>
      <c r="M14" s="10"/>
      <c r="N14" s="10" t="s">
        <v>33</v>
      </c>
      <c r="O14" s="10" t="s">
        <v>34</v>
      </c>
      <c r="Q14" s="2" t="s">
        <v>37</v>
      </c>
      <c r="R14" s="28">
        <f>5.031*((K20/9)^0.5)</f>
        <v>5.8597648830464664E-2</v>
      </c>
      <c r="Z14" s="115"/>
      <c r="AA14" s="115"/>
      <c r="AB14" s="115"/>
      <c r="AC14" s="115"/>
      <c r="AD14" s="103" t="s">
        <v>94</v>
      </c>
      <c r="AE14" s="103" t="s">
        <v>95</v>
      </c>
      <c r="AF14" s="103" t="s">
        <v>96</v>
      </c>
    </row>
    <row r="15" spans="1:32" x14ac:dyDescent="0.25">
      <c r="H15" s="2" t="s">
        <v>54</v>
      </c>
      <c r="I15" s="10">
        <v>2</v>
      </c>
      <c r="J15" s="75">
        <f>SUMSQ(B13:D13)/9-I11</f>
        <v>2.5649629629627135E-3</v>
      </c>
      <c r="K15" s="75">
        <f t="shared" ref="K15:K20" si="4">J15/I15</f>
        <v>1.2824814814813568E-3</v>
      </c>
      <c r="L15" s="75">
        <f>K15/K20</f>
        <v>1.0504051599593631</v>
      </c>
      <c r="M15" s="10" t="str">
        <f>IF(L15&lt;N15,"tn",IF(L15&lt;O15,"*","**"))</f>
        <v>tn</v>
      </c>
      <c r="N15" s="75">
        <f>FINV(0.05,I15,I20)</f>
        <v>3.6337234675916301</v>
      </c>
      <c r="O15" s="75">
        <f>FINV(0.01,I15,I20)</f>
        <v>6.2262352803113821</v>
      </c>
      <c r="T15" s="33" t="s">
        <v>47</v>
      </c>
      <c r="U15" s="33" t="s">
        <v>106</v>
      </c>
      <c r="Z15" s="101" t="s">
        <v>110</v>
      </c>
      <c r="AA15" s="101"/>
      <c r="AB15" s="101"/>
      <c r="AC15" s="101"/>
      <c r="AD15" s="102">
        <f>R4</f>
        <v>0.24933333333333332</v>
      </c>
      <c r="AE15" s="102">
        <f>R5</f>
        <v>0.21999999999999997</v>
      </c>
      <c r="AF15" s="102">
        <f>R6</f>
        <v>0.28366666666666668</v>
      </c>
    </row>
    <row r="16" spans="1:32" x14ac:dyDescent="0.25">
      <c r="H16" s="2" t="s">
        <v>55</v>
      </c>
      <c r="I16" s="10">
        <v>8</v>
      </c>
      <c r="J16" s="75">
        <f>SUMSQ(E4:E12)/3-I11</f>
        <v>0.21226718518518517</v>
      </c>
      <c r="K16" s="75">
        <f t="shared" si="4"/>
        <v>2.6533398148148146E-2</v>
      </c>
      <c r="L16" s="75">
        <f>K16/K20</f>
        <v>21.731946019117764</v>
      </c>
      <c r="M16" s="10" t="str">
        <f>IF(L16&lt;N16,"tn",IF(L16&lt;O16,"*","**"))</f>
        <v>**</v>
      </c>
      <c r="N16" s="75">
        <f>FINV(0.05,I16,I20)</f>
        <v>2.5910961798744014</v>
      </c>
      <c r="O16" s="75">
        <f>FINV(0.01,I16,I20)</f>
        <v>3.8895721399261927</v>
      </c>
      <c r="T16" t="s">
        <v>41</v>
      </c>
      <c r="U16">
        <f>M6</f>
        <v>0.251</v>
      </c>
      <c r="W16">
        <f>U16</f>
        <v>0.251</v>
      </c>
      <c r="X16" s="30">
        <f>R14</f>
        <v>5.8597648830464664E-2</v>
      </c>
      <c r="Y16" s="30"/>
      <c r="Z16" s="101" t="s">
        <v>111</v>
      </c>
      <c r="AA16" s="101"/>
      <c r="AB16" s="101"/>
      <c r="AC16" s="101"/>
      <c r="AD16" s="102">
        <f>R7</f>
        <v>0.25333333333333335</v>
      </c>
      <c r="AE16" s="102">
        <f>R8</f>
        <v>0.24099999999999999</v>
      </c>
      <c r="AF16" s="102">
        <f>R9</f>
        <v>0.45400000000000001</v>
      </c>
    </row>
    <row r="17" spans="8:32" x14ac:dyDescent="0.25">
      <c r="H17" s="2" t="s">
        <v>30</v>
      </c>
      <c r="I17" s="10">
        <v>2</v>
      </c>
      <c r="J17" s="75">
        <f>SUMSQ(L6:L8)/9-I11</f>
        <v>0.10420229629629629</v>
      </c>
      <c r="K17" s="75">
        <f t="shared" si="4"/>
        <v>5.2101148148148146E-2</v>
      </c>
      <c r="L17" s="75">
        <f>K17/K20</f>
        <v>42.672986428940952</v>
      </c>
      <c r="M17" s="10" t="str">
        <f>IF(L17&lt;N17,"tn",IF(L17&lt;O17,"*","**"))</f>
        <v>**</v>
      </c>
      <c r="N17" s="75">
        <f>FINV(0.05,I17,I20)</f>
        <v>3.6337234675916301</v>
      </c>
      <c r="O17" s="75">
        <f>FINV(0.01,I17,I20)</f>
        <v>6.2262352803113821</v>
      </c>
      <c r="T17" t="s">
        <v>24</v>
      </c>
      <c r="U17">
        <f>M7</f>
        <v>0.31611111111111112</v>
      </c>
      <c r="W17">
        <f>U17</f>
        <v>0.31611111111111112</v>
      </c>
      <c r="X17" s="30">
        <f>R14</f>
        <v>5.8597648830464664E-2</v>
      </c>
      <c r="Y17" s="30"/>
      <c r="Z17" s="101" t="s">
        <v>112</v>
      </c>
      <c r="AA17" s="101"/>
      <c r="AB17" s="101"/>
      <c r="AC17" s="101"/>
      <c r="AD17" s="102">
        <f>R10</f>
        <v>0.45933333333333337</v>
      </c>
      <c r="AE17" s="102">
        <f>R11</f>
        <v>0.35733333333333334</v>
      </c>
      <c r="AF17" s="102">
        <f>R12</f>
        <v>0.39133333333333331</v>
      </c>
    </row>
    <row r="18" spans="8:32" x14ac:dyDescent="0.25">
      <c r="H18" s="2" t="s">
        <v>31</v>
      </c>
      <c r="I18" s="10">
        <v>2</v>
      </c>
      <c r="J18" s="75">
        <f>SUMSQ(I9:K9)/9-I11</f>
        <v>4.8347629629629463E-2</v>
      </c>
      <c r="K18" s="75">
        <f t="shared" si="4"/>
        <v>2.4173814814814731E-2</v>
      </c>
      <c r="L18" s="75">
        <f>K18/K20</f>
        <v>19.799350075646775</v>
      </c>
      <c r="M18" s="10" t="str">
        <f>IF(L18&lt;N18,"tn",IF(L18&lt;O18,"*","**"))</f>
        <v>**</v>
      </c>
      <c r="N18" s="75">
        <f>FINV(0.05,I18,I20)</f>
        <v>3.6337234675916301</v>
      </c>
      <c r="O18" s="75">
        <f>FINV(0.01,I18,I20)</f>
        <v>6.2262352803113821</v>
      </c>
      <c r="T18" t="s">
        <v>25</v>
      </c>
      <c r="U18">
        <f>M8</f>
        <v>0.40266666666666667</v>
      </c>
      <c r="W18">
        <f>U18</f>
        <v>0.40266666666666667</v>
      </c>
      <c r="X18" s="30">
        <f>R14</f>
        <v>5.8597648830464664E-2</v>
      </c>
      <c r="Y18" s="30"/>
      <c r="Z18" s="111" t="s">
        <v>37</v>
      </c>
      <c r="AA18" s="111"/>
      <c r="AB18" s="111"/>
      <c r="AC18" s="111"/>
      <c r="AD18" s="112">
        <f>R14</f>
        <v>5.8597648830464664E-2</v>
      </c>
      <c r="AE18" s="111"/>
      <c r="AF18" s="111"/>
    </row>
    <row r="19" spans="8:32" x14ac:dyDescent="0.25">
      <c r="H19" s="2" t="s">
        <v>68</v>
      </c>
      <c r="I19" s="10">
        <v>4</v>
      </c>
      <c r="J19" s="75">
        <f>J16-J17-J18</f>
        <v>5.9717259259259414E-2</v>
      </c>
      <c r="K19" s="75">
        <f t="shared" si="4"/>
        <v>1.4929314814814854E-2</v>
      </c>
      <c r="L19" s="75">
        <f>K19/K20</f>
        <v>12.227723785941659</v>
      </c>
      <c r="M19" s="10" t="str">
        <f>IF(L19&lt;N19,"tn",IF(L19&lt;O19,"*","**"))</f>
        <v>**</v>
      </c>
      <c r="N19" s="75">
        <f>FINV(0.05,I19,I20)</f>
        <v>3.0069172799243447</v>
      </c>
      <c r="O19" s="75">
        <f>FINV(0.01,I19,I20)</f>
        <v>4.772577999723211</v>
      </c>
      <c r="T19" s="33" t="s">
        <v>59</v>
      </c>
      <c r="U19" s="33">
        <v>5.8999999999999997E-2</v>
      </c>
    </row>
    <row r="20" spans="8:32" x14ac:dyDescent="0.25">
      <c r="H20" s="2" t="s">
        <v>17</v>
      </c>
      <c r="I20" s="10">
        <v>16</v>
      </c>
      <c r="J20" s="75">
        <f>J21-J15-J16</f>
        <v>1.9535037037037739E-2</v>
      </c>
      <c r="K20" s="75">
        <f t="shared" si="4"/>
        <v>1.2209398148148587E-3</v>
      </c>
      <c r="L20" s="11"/>
      <c r="M20" s="11" t="s">
        <v>60</v>
      </c>
      <c r="N20" s="11"/>
      <c r="O20" s="11"/>
      <c r="T20" t="s">
        <v>21</v>
      </c>
      <c r="U20">
        <f>I10</f>
        <v>0.32066666666666671</v>
      </c>
      <c r="W20">
        <f>U20</f>
        <v>0.32066666666666671</v>
      </c>
      <c r="X20" s="30">
        <f>R14</f>
        <v>5.8597648830464664E-2</v>
      </c>
      <c r="Y20" s="30"/>
    </row>
    <row r="21" spans="8:32" x14ac:dyDescent="0.25">
      <c r="H21" s="2" t="s">
        <v>45</v>
      </c>
      <c r="I21" s="10">
        <v>26</v>
      </c>
      <c r="J21" s="75">
        <f>SUMSQ(B4:D12)-I11</f>
        <v>0.23436718518518562</v>
      </c>
      <c r="K21" s="11"/>
      <c r="L21" s="11"/>
      <c r="M21" s="11"/>
      <c r="N21" s="11"/>
      <c r="O21" s="11"/>
      <c r="T21" t="s">
        <v>22</v>
      </c>
      <c r="U21">
        <f>J10</f>
        <v>0.27277777777777779</v>
      </c>
      <c r="W21">
        <f>U22</f>
        <v>0.37633333333333335</v>
      </c>
      <c r="X21" s="30">
        <f>R14</f>
        <v>5.8597648830464664E-2</v>
      </c>
      <c r="Y21" s="30"/>
    </row>
    <row r="22" spans="8:32" x14ac:dyDescent="0.25">
      <c r="T22" s="31" t="s">
        <v>23</v>
      </c>
      <c r="U22" s="31">
        <f>K10</f>
        <v>0.37633333333333335</v>
      </c>
      <c r="W22" s="31">
        <f>U21</f>
        <v>0.27277777777777779</v>
      </c>
      <c r="X22" s="32">
        <f>R14</f>
        <v>5.8597648830464664E-2</v>
      </c>
      <c r="Y22" s="30"/>
    </row>
    <row r="23" spans="8:32" x14ac:dyDescent="0.25">
      <c r="T23" t="s">
        <v>59</v>
      </c>
      <c r="U23">
        <v>5.8999999999999997E-2</v>
      </c>
    </row>
  </sheetData>
  <sortState xmlns:xlrd2="http://schemas.microsoft.com/office/spreadsheetml/2017/richdata2" ref="T3:X12">
    <sortCondition ref="U4:U12"/>
  </sortState>
  <mergeCells count="18">
    <mergeCell ref="H13:I13"/>
    <mergeCell ref="A2:A3"/>
    <mergeCell ref="B2:D2"/>
    <mergeCell ref="E2:E3"/>
    <mergeCell ref="F2:F3"/>
    <mergeCell ref="H3:I3"/>
    <mergeCell ref="A1:C1"/>
    <mergeCell ref="Q3:R3"/>
    <mergeCell ref="H4:H5"/>
    <mergeCell ref="I4:K4"/>
    <mergeCell ref="L4:L5"/>
    <mergeCell ref="M4:M5"/>
    <mergeCell ref="Z18:AC18"/>
    <mergeCell ref="AD18:AF18"/>
    <mergeCell ref="T12:V12"/>
    <mergeCell ref="AD13:AF13"/>
    <mergeCell ref="Z13:AC14"/>
    <mergeCell ref="Z12:AF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570B2-7CF4-4D8E-A631-3C6784339118}">
  <dimension ref="A1:S30"/>
  <sheetViews>
    <sheetView workbookViewId="0">
      <selection activeCell="K21" sqref="K21"/>
    </sheetView>
  </sheetViews>
  <sheetFormatPr defaultRowHeight="15" x14ac:dyDescent="0.25"/>
  <cols>
    <col min="2" max="2" width="10.28515625" customWidth="1"/>
    <col min="9" max="9" width="10.5703125" customWidth="1"/>
    <col min="10" max="10" width="13.7109375" customWidth="1"/>
    <col min="11" max="11" width="9.5703125" bestFit="1" customWidth="1"/>
    <col min="12" max="12" width="10.5703125" customWidth="1"/>
    <col min="13" max="13" width="13.140625" customWidth="1"/>
    <col min="14" max="14" width="9.42578125" customWidth="1"/>
  </cols>
  <sheetData>
    <row r="1" spans="1:19" x14ac:dyDescent="0.25">
      <c r="A1" t="s">
        <v>92</v>
      </c>
    </row>
    <row r="2" spans="1:19" x14ac:dyDescent="0.25">
      <c r="I2" s="106" t="s">
        <v>27</v>
      </c>
      <c r="J2" s="106"/>
    </row>
    <row r="3" spans="1:19" x14ac:dyDescent="0.25">
      <c r="B3" s="120" t="s">
        <v>29</v>
      </c>
      <c r="C3" s="104" t="s">
        <v>44</v>
      </c>
      <c r="D3" s="104"/>
      <c r="E3" s="104"/>
      <c r="F3" s="120" t="s">
        <v>18</v>
      </c>
      <c r="G3" s="120" t="s">
        <v>5</v>
      </c>
      <c r="I3" s="64" t="s">
        <v>13</v>
      </c>
      <c r="J3" s="64" t="s">
        <v>14</v>
      </c>
      <c r="K3" s="64" t="s">
        <v>15</v>
      </c>
      <c r="L3" s="64" t="s">
        <v>16</v>
      </c>
      <c r="M3" s="64" t="s">
        <v>72</v>
      </c>
      <c r="N3" s="64"/>
      <c r="O3" s="64" t="s">
        <v>33</v>
      </c>
      <c r="P3" s="64" t="s">
        <v>34</v>
      </c>
    </row>
    <row r="4" spans="1:19" x14ac:dyDescent="0.25">
      <c r="B4" s="121"/>
      <c r="C4" s="67" t="s">
        <v>2</v>
      </c>
      <c r="D4" s="67" t="s">
        <v>3</v>
      </c>
      <c r="E4" s="67" t="s">
        <v>4</v>
      </c>
      <c r="F4" s="121"/>
      <c r="G4" s="121"/>
      <c r="I4" t="s">
        <v>54</v>
      </c>
      <c r="J4">
        <v>2</v>
      </c>
      <c r="K4" s="71">
        <f>SUMSQ(C14:E14)/9-C24</f>
        <v>158015.91742222244</v>
      </c>
      <c r="L4" s="71">
        <f t="shared" ref="L4:L9" si="0">K4/J4</f>
        <v>79007.95871111122</v>
      </c>
      <c r="M4" s="14">
        <f>L4/L9</f>
        <v>5.3836596419669309</v>
      </c>
      <c r="N4" s="1" t="str">
        <f>IF(M4&lt;O4,"tn",IF(M4&lt;P4,"*","**"))</f>
        <v>*</v>
      </c>
      <c r="O4" s="14">
        <f>FINV(0.05,J4,J9)</f>
        <v>3.6337234675916301</v>
      </c>
      <c r="P4" s="14">
        <f>FINV(0.01,J4,J9)</f>
        <v>6.2262352803113821</v>
      </c>
    </row>
    <row r="5" spans="1:19" x14ac:dyDescent="0.25">
      <c r="B5" t="s">
        <v>38</v>
      </c>
      <c r="C5">
        <v>187.72</v>
      </c>
      <c r="D5">
        <v>356.75</v>
      </c>
      <c r="E5">
        <v>222.46</v>
      </c>
      <c r="F5">
        <f>SUM(C5:E5)</f>
        <v>766.93000000000006</v>
      </c>
      <c r="G5" s="14">
        <f>F5/3</f>
        <v>255.64333333333335</v>
      </c>
      <c r="I5" t="s">
        <v>55</v>
      </c>
      <c r="J5">
        <v>8</v>
      </c>
      <c r="K5" s="71">
        <f>SUMSQ(F5:F13)/3-C24</f>
        <v>190970.08600000059</v>
      </c>
      <c r="L5" s="71">
        <f t="shared" si="0"/>
        <v>23871.260750000074</v>
      </c>
      <c r="M5" s="14">
        <f>L5/L9</f>
        <v>1.6266050306723225</v>
      </c>
      <c r="N5" s="1" t="str">
        <f t="shared" ref="N5:N7" si="1">IF(M5&lt;O5,"tn",IF(M5&lt;P5,"*","**"))</f>
        <v>tn</v>
      </c>
      <c r="O5" s="14">
        <f>FINV(0.05,J5,J9)</f>
        <v>2.5910961798744014</v>
      </c>
      <c r="P5" s="14">
        <f>FINV(0.01,J5,J9)</f>
        <v>3.8895721399261927</v>
      </c>
    </row>
    <row r="6" spans="1:19" x14ac:dyDescent="0.25">
      <c r="B6" t="s">
        <v>40</v>
      </c>
      <c r="C6">
        <v>112.89</v>
      </c>
      <c r="D6">
        <v>427.68</v>
      </c>
      <c r="E6">
        <v>132.13999999999999</v>
      </c>
      <c r="F6">
        <f t="shared" ref="F6:F13" si="2">SUM(C6:E6)</f>
        <v>672.71</v>
      </c>
      <c r="G6" s="14">
        <f t="shared" ref="G6:G13" si="3">F6/3</f>
        <v>224.23666666666668</v>
      </c>
      <c r="I6" t="s">
        <v>30</v>
      </c>
      <c r="J6">
        <v>2</v>
      </c>
      <c r="K6" s="71">
        <f>SUMSQ(F19:F21)/9-C24</f>
        <v>18078.935622223187</v>
      </c>
      <c r="L6" s="71">
        <f t="shared" si="0"/>
        <v>9039.4678111115936</v>
      </c>
      <c r="M6" s="14">
        <f>L6/L9</f>
        <v>0.61595589651269678</v>
      </c>
      <c r="N6" s="1" t="str">
        <f t="shared" si="1"/>
        <v>tn</v>
      </c>
      <c r="O6" s="14">
        <f>FINV(0.05,J6,J9)</f>
        <v>3.6337234675916301</v>
      </c>
      <c r="P6" s="14">
        <f>FINV(0.01,J6,J9)</f>
        <v>6.2262352803113821</v>
      </c>
    </row>
    <row r="7" spans="1:19" x14ac:dyDescent="0.25">
      <c r="B7" t="s">
        <v>39</v>
      </c>
      <c r="C7">
        <v>392.78</v>
      </c>
      <c r="D7">
        <v>331.31</v>
      </c>
      <c r="E7">
        <v>191.7</v>
      </c>
      <c r="F7">
        <f t="shared" si="2"/>
        <v>915.79</v>
      </c>
      <c r="G7" s="14">
        <f t="shared" si="3"/>
        <v>305.26333333333332</v>
      </c>
      <c r="I7" t="s">
        <v>31</v>
      </c>
      <c r="J7">
        <v>2</v>
      </c>
      <c r="K7" s="71">
        <f>SUMSQ(C22:E22)/9-C24</f>
        <v>74751.826022223104</v>
      </c>
      <c r="L7" s="71">
        <f t="shared" si="0"/>
        <v>37375.913011111552</v>
      </c>
      <c r="M7" s="14">
        <f>L7/L9</f>
        <v>2.54682183595372</v>
      </c>
      <c r="N7" s="1" t="str">
        <f t="shared" si="1"/>
        <v>tn</v>
      </c>
      <c r="O7" s="14">
        <f>FINV(0.05,J7,J9)</f>
        <v>3.6337234675916301</v>
      </c>
      <c r="P7" s="14">
        <f>FINV(0.01,J7,J9)</f>
        <v>6.2262352803113821</v>
      </c>
    </row>
    <row r="8" spans="1:19" x14ac:dyDescent="0.25">
      <c r="B8" t="s">
        <v>6</v>
      </c>
      <c r="C8">
        <v>209.17</v>
      </c>
      <c r="D8">
        <v>56.34</v>
      </c>
      <c r="E8">
        <v>156.19</v>
      </c>
      <c r="F8">
        <f t="shared" si="2"/>
        <v>421.7</v>
      </c>
      <c r="G8" s="14">
        <f t="shared" si="3"/>
        <v>140.56666666666666</v>
      </c>
      <c r="I8" t="s">
        <v>68</v>
      </c>
      <c r="J8">
        <v>4</v>
      </c>
      <c r="K8" s="71">
        <f>K5-K6-K7</f>
        <v>98139.324355554301</v>
      </c>
      <c r="L8" s="71">
        <f t="shared" si="0"/>
        <v>24534.831088888575</v>
      </c>
      <c r="M8" s="14">
        <f>L8/L9</f>
        <v>1.6718211951114366</v>
      </c>
      <c r="N8" s="1" t="str">
        <f>IF(M8&lt;O8,"tn",IF(M8&lt;P8,"*","**"))</f>
        <v>tn</v>
      </c>
      <c r="O8" s="14">
        <f>FINV(0.05,J8,J9)</f>
        <v>3.0069172799243447</v>
      </c>
      <c r="P8" s="14">
        <f>FINV(0.01,J8,J9)</f>
        <v>4.772577999723211</v>
      </c>
    </row>
    <row r="9" spans="1:19" x14ac:dyDescent="0.25">
      <c r="B9" t="s">
        <v>7</v>
      </c>
      <c r="C9">
        <v>354.68</v>
      </c>
      <c r="D9">
        <v>533.29</v>
      </c>
      <c r="E9">
        <v>192.64</v>
      </c>
      <c r="F9">
        <f t="shared" si="2"/>
        <v>1080.6100000000001</v>
      </c>
      <c r="G9" s="14">
        <f t="shared" si="3"/>
        <v>360.20333333333338</v>
      </c>
      <c r="I9" t="s">
        <v>56</v>
      </c>
      <c r="J9">
        <v>16</v>
      </c>
      <c r="K9" s="71">
        <f>K10-K4-K5</f>
        <v>234808.18317777757</v>
      </c>
      <c r="L9" s="71">
        <f t="shared" si="0"/>
        <v>14675.511448611098</v>
      </c>
      <c r="M9" s="11"/>
      <c r="N9" s="11"/>
      <c r="O9" s="11"/>
      <c r="P9" s="11"/>
    </row>
    <row r="10" spans="1:19" x14ac:dyDescent="0.25">
      <c r="B10" t="s">
        <v>8</v>
      </c>
      <c r="C10">
        <v>342.4</v>
      </c>
      <c r="D10">
        <v>338.79</v>
      </c>
      <c r="E10">
        <v>223.4</v>
      </c>
      <c r="F10">
        <f t="shared" si="2"/>
        <v>904.59</v>
      </c>
      <c r="G10" s="14">
        <f t="shared" si="3"/>
        <v>301.53000000000003</v>
      </c>
      <c r="I10" s="33" t="s">
        <v>18</v>
      </c>
      <c r="J10" s="33">
        <v>26</v>
      </c>
      <c r="K10" s="72">
        <f>SUMSQ(C5:E13)-C24</f>
        <v>583794.1866000006</v>
      </c>
      <c r="L10" s="69"/>
      <c r="M10" s="69"/>
      <c r="N10" s="69"/>
      <c r="O10" s="69"/>
      <c r="P10" s="69"/>
    </row>
    <row r="11" spans="1:19" x14ac:dyDescent="0.25">
      <c r="B11" t="s">
        <v>9</v>
      </c>
      <c r="C11">
        <v>354.05</v>
      </c>
      <c r="D11">
        <v>219.75</v>
      </c>
      <c r="E11">
        <v>275.44</v>
      </c>
      <c r="F11">
        <f t="shared" si="2"/>
        <v>849.24</v>
      </c>
      <c r="G11" s="14">
        <f t="shared" si="3"/>
        <v>283.08</v>
      </c>
    </row>
    <row r="12" spans="1:19" x14ac:dyDescent="0.25">
      <c r="B12" t="s">
        <v>10</v>
      </c>
      <c r="C12">
        <v>193.37</v>
      </c>
      <c r="D12">
        <v>415.89</v>
      </c>
      <c r="E12">
        <v>57.6</v>
      </c>
      <c r="F12">
        <f t="shared" si="2"/>
        <v>666.86</v>
      </c>
      <c r="G12" s="14">
        <f t="shared" si="3"/>
        <v>222.28666666666666</v>
      </c>
      <c r="I12" s="33" t="s">
        <v>29</v>
      </c>
      <c r="J12" s="33" t="s">
        <v>93</v>
      </c>
      <c r="L12" s="135"/>
      <c r="M12" s="135"/>
      <c r="N12" s="135"/>
      <c r="O12" s="135"/>
      <c r="P12" s="135"/>
    </row>
    <row r="13" spans="1:19" x14ac:dyDescent="0.25">
      <c r="B13" t="s">
        <v>11</v>
      </c>
      <c r="C13">
        <v>651.53</v>
      </c>
      <c r="D13">
        <v>552.85</v>
      </c>
      <c r="E13">
        <v>152.69999999999999</v>
      </c>
      <c r="F13">
        <f t="shared" si="2"/>
        <v>1357.0800000000002</v>
      </c>
      <c r="G13" s="14">
        <f t="shared" si="3"/>
        <v>452.36000000000007</v>
      </c>
      <c r="I13" t="s">
        <v>41</v>
      </c>
      <c r="J13" s="14">
        <f>G19</f>
        <v>261.7144444444445</v>
      </c>
      <c r="M13" s="14"/>
      <c r="N13" s="14"/>
      <c r="O13" s="14"/>
      <c r="P13" s="132"/>
    </row>
    <row r="14" spans="1:19" x14ac:dyDescent="0.25">
      <c r="B14" s="33" t="s">
        <v>18</v>
      </c>
      <c r="C14" s="33">
        <f>SUM(C5:C13)</f>
        <v>2798.59</v>
      </c>
      <c r="D14" s="33">
        <f t="shared" ref="D14:E14" si="4">SUM(D5:D13)</f>
        <v>3232.6499999999996</v>
      </c>
      <c r="E14" s="33">
        <f t="shared" si="4"/>
        <v>1604.27</v>
      </c>
      <c r="F14" s="33">
        <f>SUM(F5:F13)</f>
        <v>7635.5099999999993</v>
      </c>
      <c r="G14" s="69"/>
      <c r="I14" t="s">
        <v>24</v>
      </c>
      <c r="J14" s="14">
        <f>G20</f>
        <v>267.43333333333334</v>
      </c>
      <c r="M14" s="14"/>
      <c r="N14" s="14"/>
      <c r="O14" s="14"/>
      <c r="P14" s="132"/>
      <c r="Q14" s="132"/>
    </row>
    <row r="15" spans="1:19" x14ac:dyDescent="0.25">
      <c r="I15" t="s">
        <v>25</v>
      </c>
      <c r="J15" s="14">
        <f>G21</f>
        <v>319.24222222222227</v>
      </c>
      <c r="M15" s="14"/>
      <c r="N15" s="14"/>
      <c r="O15" s="14"/>
      <c r="P15" s="132"/>
      <c r="Q15" s="132"/>
      <c r="R15" s="132"/>
    </row>
    <row r="16" spans="1:19" x14ac:dyDescent="0.25">
      <c r="B16" t="s">
        <v>20</v>
      </c>
      <c r="I16" s="33" t="s">
        <v>37</v>
      </c>
      <c r="J16" s="66" t="s">
        <v>60</v>
      </c>
      <c r="M16" s="14"/>
      <c r="N16" s="14"/>
      <c r="O16" s="14"/>
      <c r="P16" s="132"/>
      <c r="Q16" s="132"/>
      <c r="R16" s="132"/>
      <c r="S16" s="132"/>
    </row>
    <row r="17" spans="1:19" x14ac:dyDescent="0.25">
      <c r="B17" s="120" t="s">
        <v>30</v>
      </c>
      <c r="C17" s="104" t="s">
        <v>31</v>
      </c>
      <c r="D17" s="104"/>
      <c r="E17" s="104"/>
      <c r="F17" s="120" t="s">
        <v>18</v>
      </c>
      <c r="G17" s="120" t="s">
        <v>26</v>
      </c>
      <c r="I17" s="36" t="s">
        <v>21</v>
      </c>
      <c r="J17" s="36">
        <f>C23</f>
        <v>226.43000000000004</v>
      </c>
      <c r="M17" s="14"/>
      <c r="N17" s="14"/>
      <c r="O17" s="14"/>
      <c r="P17" s="132"/>
      <c r="Q17" s="132"/>
      <c r="R17" s="132"/>
      <c r="S17" s="132"/>
    </row>
    <row r="18" spans="1:19" x14ac:dyDescent="0.25">
      <c r="B18" s="121"/>
      <c r="C18" s="67" t="s">
        <v>21</v>
      </c>
      <c r="D18" s="67" t="s">
        <v>22</v>
      </c>
      <c r="E18" s="67" t="s">
        <v>23</v>
      </c>
      <c r="F18" s="121"/>
      <c r="G18" s="121"/>
      <c r="I18" t="s">
        <v>22</v>
      </c>
      <c r="J18" s="14">
        <f>D23</f>
        <v>268.90888888888895</v>
      </c>
      <c r="M18" s="14"/>
      <c r="N18" s="14"/>
      <c r="O18" s="14"/>
      <c r="P18" s="132"/>
      <c r="Q18" s="132"/>
      <c r="R18" s="132"/>
      <c r="S18" s="132"/>
    </row>
    <row r="19" spans="1:19" x14ac:dyDescent="0.25">
      <c r="B19" t="s">
        <v>41</v>
      </c>
      <c r="C19">
        <f>F5</f>
        <v>766.93000000000006</v>
      </c>
      <c r="D19">
        <f>F6</f>
        <v>672.71</v>
      </c>
      <c r="E19">
        <f>F7</f>
        <v>915.79</v>
      </c>
      <c r="F19">
        <f>SUM(C19:E19)</f>
        <v>2355.4300000000003</v>
      </c>
      <c r="G19" s="14">
        <f>AVERAGE(C19:E19)/3</f>
        <v>261.7144444444445</v>
      </c>
      <c r="I19" t="s">
        <v>23</v>
      </c>
      <c r="J19" s="14">
        <f>E23</f>
        <v>353.05111111111114</v>
      </c>
      <c r="M19" s="14"/>
      <c r="N19" s="14"/>
      <c r="O19" s="14"/>
      <c r="P19" s="132"/>
      <c r="Q19" s="132"/>
      <c r="R19" s="132"/>
      <c r="S19" s="132"/>
    </row>
    <row r="20" spans="1:19" x14ac:dyDescent="0.25">
      <c r="B20" t="s">
        <v>24</v>
      </c>
      <c r="C20">
        <f>F8</f>
        <v>421.7</v>
      </c>
      <c r="D20">
        <f>F9</f>
        <v>1080.6100000000001</v>
      </c>
      <c r="E20">
        <f>F10</f>
        <v>904.59</v>
      </c>
      <c r="F20">
        <f t="shared" ref="F20:F21" si="5">SUM(C20:E20)</f>
        <v>2406.9</v>
      </c>
      <c r="G20" s="14">
        <f>AVERAGE(C20:E20)/3</f>
        <v>267.43333333333334</v>
      </c>
      <c r="I20" s="33" t="s">
        <v>37</v>
      </c>
      <c r="J20" s="37" t="s">
        <v>60</v>
      </c>
      <c r="M20" s="14"/>
      <c r="N20" s="14"/>
      <c r="O20" s="14"/>
      <c r="Q20" s="132"/>
      <c r="R20" s="132"/>
      <c r="S20" s="132"/>
    </row>
    <row r="21" spans="1:19" x14ac:dyDescent="0.25">
      <c r="B21" t="s">
        <v>25</v>
      </c>
      <c r="C21">
        <f>F11</f>
        <v>849.24</v>
      </c>
      <c r="D21">
        <f>F12</f>
        <v>666.86</v>
      </c>
      <c r="E21">
        <f>F13</f>
        <v>1357.0800000000002</v>
      </c>
      <c r="F21">
        <f t="shared" si="5"/>
        <v>2873.1800000000003</v>
      </c>
      <c r="G21" s="14">
        <f>AVERAGE(C21:E21)/3</f>
        <v>319.24222222222227</v>
      </c>
      <c r="I21" s="133"/>
      <c r="J21" s="134"/>
      <c r="L21" s="133"/>
      <c r="M21" s="134"/>
      <c r="N21" s="134"/>
      <c r="O21" s="134"/>
      <c r="P21" s="133"/>
      <c r="S21" s="132"/>
    </row>
    <row r="22" spans="1:19" x14ac:dyDescent="0.25">
      <c r="B22" s="31" t="s">
        <v>18</v>
      </c>
      <c r="C22" s="31">
        <f>SUM(C19:C21)</f>
        <v>2037.8700000000001</v>
      </c>
      <c r="D22" s="31">
        <f t="shared" ref="D22:E22" si="6">SUM(D19:D21)</f>
        <v>2420.1800000000003</v>
      </c>
      <c r="E22" s="31">
        <f t="shared" si="6"/>
        <v>3177.46</v>
      </c>
      <c r="F22" s="31">
        <f>SUM(F19:F21)</f>
        <v>7635.51</v>
      </c>
      <c r="G22" s="70"/>
    </row>
    <row r="23" spans="1:19" x14ac:dyDescent="0.25">
      <c r="B23" s="31" t="s">
        <v>26</v>
      </c>
      <c r="C23" s="31">
        <f>AVERAGE(C19:C21)/3</f>
        <v>226.43000000000004</v>
      </c>
      <c r="D23" s="35">
        <f t="shared" ref="D23:E23" si="7">AVERAGE(D19:D21)/3</f>
        <v>268.90888888888895</v>
      </c>
      <c r="E23" s="35">
        <f t="shared" si="7"/>
        <v>353.05111111111114</v>
      </c>
      <c r="F23" s="31"/>
      <c r="G23" s="31"/>
      <c r="J23" s="14"/>
      <c r="O23" s="133"/>
      <c r="P23" s="133"/>
      <c r="Q23" s="133"/>
      <c r="R23" s="133"/>
    </row>
    <row r="24" spans="1:19" x14ac:dyDescent="0.25">
      <c r="B24" s="60" t="s">
        <v>12</v>
      </c>
      <c r="C24" s="60">
        <f>(F14^2)/27</f>
        <v>2159296.7762999996</v>
      </c>
      <c r="P24" s="14"/>
      <c r="Q24" s="14"/>
    </row>
    <row r="25" spans="1:19" x14ac:dyDescent="0.25">
      <c r="P25" s="14"/>
      <c r="Q25" s="14"/>
    </row>
    <row r="26" spans="1:19" x14ac:dyDescent="0.25">
      <c r="A26" t="s">
        <v>97</v>
      </c>
      <c r="D26" s="133"/>
      <c r="O26" s="133"/>
      <c r="P26" s="134"/>
      <c r="Q26" s="134"/>
      <c r="R26" s="133"/>
    </row>
    <row r="27" spans="1:19" x14ac:dyDescent="0.25">
      <c r="O27" s="133"/>
      <c r="P27" s="133"/>
      <c r="Q27" s="133"/>
      <c r="R27" s="133"/>
    </row>
    <row r="28" spans="1:19" x14ac:dyDescent="0.25">
      <c r="P28" s="14"/>
      <c r="Q28" s="14"/>
    </row>
    <row r="29" spans="1:19" x14ac:dyDescent="0.25">
      <c r="P29" s="14"/>
      <c r="Q29" s="14"/>
    </row>
    <row r="30" spans="1:19" x14ac:dyDescent="0.25">
      <c r="P30" s="14"/>
      <c r="Q30" s="14"/>
    </row>
  </sheetData>
  <mergeCells count="9">
    <mergeCell ref="B17:B18"/>
    <mergeCell ref="C17:E17"/>
    <mergeCell ref="G17:G18"/>
    <mergeCell ref="F17:F18"/>
    <mergeCell ref="I2:J2"/>
    <mergeCell ref="B3:B4"/>
    <mergeCell ref="C3:E3"/>
    <mergeCell ref="F3:F4"/>
    <mergeCell ref="G3:G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D066A-865C-45E1-BE89-C29729633351}">
  <dimension ref="A1:W163"/>
  <sheetViews>
    <sheetView workbookViewId="0">
      <selection activeCell="V134" sqref="V134"/>
    </sheetView>
  </sheetViews>
  <sheetFormatPr defaultRowHeight="15" x14ac:dyDescent="0.25"/>
  <cols>
    <col min="1" max="1" width="8.7109375" customWidth="1"/>
    <col min="2" max="2" width="11.85546875" customWidth="1"/>
    <col min="3" max="3" width="12.7109375" customWidth="1"/>
    <col min="4" max="4" width="12.42578125" customWidth="1"/>
    <col min="8" max="8" width="10.28515625" customWidth="1"/>
    <col min="12" max="12" width="12.140625" customWidth="1"/>
    <col min="13" max="13" width="14.28515625" customWidth="1"/>
    <col min="14" max="14" width="11.28515625" customWidth="1"/>
    <col min="15" max="15" width="10.42578125" customWidth="1"/>
    <col min="16" max="16" width="9.7109375" customWidth="1"/>
    <col min="17" max="17" width="10.5703125" customWidth="1"/>
    <col min="21" max="21" width="12.28515625" customWidth="1"/>
    <col min="22" max="22" width="15.140625" customWidth="1"/>
    <col min="23" max="23" width="10.85546875" customWidth="1"/>
  </cols>
  <sheetData>
    <row r="1" spans="1:23" x14ac:dyDescent="0.25">
      <c r="A1" s="123" t="s">
        <v>79</v>
      </c>
      <c r="B1" s="123"/>
      <c r="L1" s="122" t="s">
        <v>87</v>
      </c>
      <c r="M1" s="119"/>
      <c r="O1" s="45"/>
      <c r="P1" s="45"/>
      <c r="U1" s="122" t="s">
        <v>89</v>
      </c>
      <c r="V1" s="119"/>
    </row>
    <row r="2" spans="1:23" x14ac:dyDescent="0.25">
      <c r="A2" s="122" t="s">
        <v>78</v>
      </c>
      <c r="B2" s="119"/>
      <c r="L2" s="45" t="s">
        <v>78</v>
      </c>
      <c r="O2" s="45"/>
      <c r="P2" s="45"/>
      <c r="U2" s="45" t="s">
        <v>78</v>
      </c>
    </row>
    <row r="3" spans="1:23" x14ac:dyDescent="0.25">
      <c r="B3" s="52" t="s">
        <v>73</v>
      </c>
      <c r="C3" s="53" t="s">
        <v>74</v>
      </c>
      <c r="D3" s="44" t="s">
        <v>75</v>
      </c>
      <c r="G3" s="51"/>
      <c r="H3" s="51"/>
      <c r="I3" s="50"/>
      <c r="L3" s="44" t="s">
        <v>73</v>
      </c>
      <c r="M3" s="44" t="s">
        <v>74</v>
      </c>
      <c r="N3" s="44" t="s">
        <v>75</v>
      </c>
      <c r="O3" s="44"/>
      <c r="P3" s="44"/>
      <c r="Q3" s="44"/>
      <c r="U3" s="44" t="s">
        <v>90</v>
      </c>
      <c r="V3" s="44" t="s">
        <v>74</v>
      </c>
      <c r="W3" s="44" t="s">
        <v>75</v>
      </c>
    </row>
    <row r="4" spans="1:23" x14ac:dyDescent="0.25">
      <c r="B4" s="50">
        <v>0</v>
      </c>
      <c r="C4" s="55">
        <f>((D4-D4)/D4)*100</f>
        <v>0</v>
      </c>
      <c r="D4" s="54">
        <v>0.41899999999999998</v>
      </c>
      <c r="E4" s="1"/>
      <c r="F4" s="49"/>
      <c r="G4" s="51"/>
      <c r="H4" s="51"/>
      <c r="I4" s="50"/>
      <c r="L4">
        <v>0</v>
      </c>
      <c r="M4">
        <f>((N4-N4)/N4)*100</f>
        <v>0</v>
      </c>
      <c r="N4">
        <v>0.41899999999999998</v>
      </c>
      <c r="U4">
        <v>0</v>
      </c>
      <c r="V4">
        <f>((W4-W4)/W4)*100</f>
        <v>0</v>
      </c>
      <c r="W4">
        <v>0.41899999999999998</v>
      </c>
    </row>
    <row r="5" spans="1:23" x14ac:dyDescent="0.25">
      <c r="B5">
        <v>5</v>
      </c>
      <c r="C5" s="14">
        <f>((D4-D5)/D4)*100</f>
        <v>18.138424821002378</v>
      </c>
      <c r="D5">
        <v>0.34300000000000003</v>
      </c>
      <c r="L5">
        <v>5</v>
      </c>
      <c r="M5" s="14">
        <f>((N4-N5)/N4)*100</f>
        <v>17.422434367541769</v>
      </c>
      <c r="N5">
        <v>0.34599999999999997</v>
      </c>
      <c r="P5" s="14"/>
      <c r="U5">
        <v>5</v>
      </c>
      <c r="V5" s="14">
        <f>((W4-W5)/W4)*100</f>
        <v>28.400954653937948</v>
      </c>
      <c r="W5">
        <v>0.3</v>
      </c>
    </row>
    <row r="6" spans="1:23" x14ac:dyDescent="0.25">
      <c r="B6">
        <v>10</v>
      </c>
      <c r="C6" s="14">
        <f>((D4-D6)/D4)*100</f>
        <v>39.856801909307869</v>
      </c>
      <c r="D6">
        <v>0.252</v>
      </c>
      <c r="L6">
        <v>10</v>
      </c>
      <c r="M6" s="14">
        <f>((N4-N6)/N4)*100</f>
        <v>17.661097852028643</v>
      </c>
      <c r="N6">
        <v>0.34499999999999997</v>
      </c>
      <c r="P6" s="14"/>
      <c r="U6">
        <v>10</v>
      </c>
      <c r="V6" s="14">
        <f>((W4-W6)/W4)*100</f>
        <v>28.878281622911693</v>
      </c>
      <c r="W6">
        <v>0.29799999999999999</v>
      </c>
    </row>
    <row r="7" spans="1:23" x14ac:dyDescent="0.25">
      <c r="B7">
        <v>25</v>
      </c>
      <c r="C7" s="14">
        <f>((D4-D7)/D4)*100</f>
        <v>23.150357995226724</v>
      </c>
      <c r="D7">
        <v>0.32200000000000001</v>
      </c>
      <c r="L7">
        <v>25</v>
      </c>
      <c r="M7" s="14">
        <f>((N4-N7)/N4)*100</f>
        <v>20.286396181384241</v>
      </c>
      <c r="N7">
        <v>0.33400000000000002</v>
      </c>
      <c r="P7" s="14"/>
      <c r="U7">
        <v>25</v>
      </c>
      <c r="V7" s="14">
        <f>((W4-W7)/W4)*100</f>
        <v>28.400954653937948</v>
      </c>
      <c r="W7">
        <v>0.3</v>
      </c>
    </row>
    <row r="8" spans="1:23" x14ac:dyDescent="0.25">
      <c r="B8">
        <v>50</v>
      </c>
      <c r="C8" s="14">
        <f>((D4-D8)/D4)*100</f>
        <v>65.393794749403341</v>
      </c>
      <c r="D8">
        <v>0.14499999999999999</v>
      </c>
      <c r="L8">
        <v>50</v>
      </c>
      <c r="M8" s="14">
        <f>((N4-N8)/N4)*100</f>
        <v>21.002386634844861</v>
      </c>
      <c r="N8">
        <v>0.33100000000000002</v>
      </c>
      <c r="P8" s="14"/>
      <c r="U8">
        <v>50</v>
      </c>
      <c r="V8" s="14">
        <f>((W4-W8)/W4)*100</f>
        <v>30.548926014319811</v>
      </c>
      <c r="W8">
        <v>0.29099999999999998</v>
      </c>
    </row>
    <row r="9" spans="1:23" x14ac:dyDescent="0.25">
      <c r="B9">
        <v>100</v>
      </c>
      <c r="C9" s="14">
        <f>((D4-D9)/D4)*100</f>
        <v>19.570405727923621</v>
      </c>
      <c r="D9">
        <v>0.33700000000000002</v>
      </c>
      <c r="L9">
        <v>100</v>
      </c>
      <c r="M9" s="14">
        <f>((N4-N9)/N4)*100</f>
        <v>19.809069212410492</v>
      </c>
      <c r="N9">
        <v>0.33600000000000002</v>
      </c>
      <c r="P9" s="14"/>
      <c r="U9">
        <v>100</v>
      </c>
      <c r="V9" s="14">
        <f>((W4-W9)/W4)*100</f>
        <v>29.116945107398568</v>
      </c>
      <c r="W9">
        <v>0.29699999999999999</v>
      </c>
    </row>
    <row r="10" spans="1:23" x14ac:dyDescent="0.25">
      <c r="P10" s="14"/>
      <c r="V10" s="14"/>
    </row>
    <row r="11" spans="1:23" x14ac:dyDescent="0.25">
      <c r="B11" s="56" t="s">
        <v>76</v>
      </c>
      <c r="C11" s="57">
        <f>((50-23.156)/0.143)</f>
        <v>187.72027972027973</v>
      </c>
      <c r="L11" s="58" t="s">
        <v>76</v>
      </c>
      <c r="M11" s="59">
        <f>((50-12.72)/0.1045)</f>
        <v>356.74641148325361</v>
      </c>
      <c r="P11" s="14"/>
      <c r="U11" s="62" t="s">
        <v>76</v>
      </c>
      <c r="V11" s="63">
        <f>((50-19.946)/0.1351)</f>
        <v>222.45743893412288</v>
      </c>
    </row>
    <row r="12" spans="1:23" x14ac:dyDescent="0.25">
      <c r="P12" s="14"/>
    </row>
    <row r="13" spans="1:23" x14ac:dyDescent="0.25">
      <c r="L13" s="45" t="s">
        <v>77</v>
      </c>
      <c r="O13" s="45"/>
    </row>
    <row r="14" spans="1:23" x14ac:dyDescent="0.25">
      <c r="B14" s="44"/>
      <c r="C14" s="44"/>
      <c r="D14" s="44"/>
      <c r="L14" s="44" t="s">
        <v>73</v>
      </c>
      <c r="M14" s="44" t="s">
        <v>74</v>
      </c>
      <c r="N14" s="44" t="s">
        <v>75</v>
      </c>
      <c r="O14" s="44"/>
      <c r="P14" s="44"/>
      <c r="Q14" s="44"/>
    </row>
    <row r="15" spans="1:23" x14ac:dyDescent="0.25">
      <c r="A15" s="122" t="s">
        <v>77</v>
      </c>
      <c r="B15" s="122"/>
      <c r="L15">
        <v>0</v>
      </c>
      <c r="M15">
        <f>((N15-N15)/N15)*100</f>
        <v>0</v>
      </c>
      <c r="N15">
        <v>0.41899999999999998</v>
      </c>
    </row>
    <row r="16" spans="1:23" x14ac:dyDescent="0.25">
      <c r="B16" s="44" t="s">
        <v>73</v>
      </c>
      <c r="C16" s="44" t="s">
        <v>74</v>
      </c>
      <c r="D16" s="44" t="s">
        <v>75</v>
      </c>
      <c r="L16">
        <v>5</v>
      </c>
      <c r="M16" s="14">
        <f>((N15-N16)/N15)*100</f>
        <v>14.319809069212411</v>
      </c>
      <c r="N16">
        <v>0.35899999999999999</v>
      </c>
      <c r="P16" s="14"/>
    </row>
    <row r="17" spans="1:23" x14ac:dyDescent="0.25">
      <c r="B17">
        <v>0</v>
      </c>
      <c r="C17">
        <f>((D17-D17)/D17)*100</f>
        <v>0</v>
      </c>
      <c r="D17">
        <v>0.41899999999999998</v>
      </c>
      <c r="L17">
        <v>10</v>
      </c>
      <c r="M17" s="14">
        <f>((N15-N17)/N15)*100</f>
        <v>19.331742243436743</v>
      </c>
      <c r="N17">
        <v>0.33800000000000002</v>
      </c>
      <c r="P17" s="14"/>
    </row>
    <row r="18" spans="1:23" x14ac:dyDescent="0.25">
      <c r="B18">
        <v>5</v>
      </c>
      <c r="C18" s="14">
        <f>((D17-D18)/D17)*100</f>
        <v>18.138424821002378</v>
      </c>
      <c r="D18">
        <v>0.34300000000000003</v>
      </c>
      <c r="L18">
        <v>25</v>
      </c>
      <c r="M18" s="14">
        <f>((N15-N18)/N15)*100</f>
        <v>14.319809069212411</v>
      </c>
      <c r="N18">
        <v>0.35899999999999999</v>
      </c>
      <c r="P18" s="14"/>
    </row>
    <row r="19" spans="1:23" x14ac:dyDescent="0.25">
      <c r="B19">
        <v>10</v>
      </c>
      <c r="C19" s="14">
        <f>((D17-D19)/D17)*100</f>
        <v>24.105011933174218</v>
      </c>
      <c r="D19">
        <v>0.318</v>
      </c>
      <c r="L19">
        <v>50</v>
      </c>
      <c r="M19" s="14">
        <f>((N15-N19)/N15)*100</f>
        <v>21.241050119331735</v>
      </c>
      <c r="N19">
        <v>0.33</v>
      </c>
      <c r="P19" s="14"/>
    </row>
    <row r="20" spans="1:23" x14ac:dyDescent="0.25">
      <c r="B20">
        <v>25</v>
      </c>
      <c r="C20" s="14">
        <f>((D17-D20)/D17)*100</f>
        <v>26.014319809069207</v>
      </c>
      <c r="D20">
        <v>0.31</v>
      </c>
      <c r="L20">
        <v>100</v>
      </c>
      <c r="M20" s="14">
        <f>((N15-N20)/N15)*100</f>
        <v>16.94510739856802</v>
      </c>
      <c r="N20">
        <v>0.34799999999999998</v>
      </c>
      <c r="P20" s="14"/>
    </row>
    <row r="21" spans="1:23" x14ac:dyDescent="0.25">
      <c r="B21">
        <v>50</v>
      </c>
      <c r="C21" s="14">
        <f>((D17-D21)/D17)*100</f>
        <v>21.957040572792359</v>
      </c>
      <c r="D21">
        <v>0.32700000000000001</v>
      </c>
      <c r="M21" s="14"/>
      <c r="P21" s="14"/>
    </row>
    <row r="22" spans="1:23" x14ac:dyDescent="0.25">
      <c r="B22">
        <v>100</v>
      </c>
      <c r="C22" s="14">
        <f>((D17-D22)/D17)*100</f>
        <v>46.778042959427211</v>
      </c>
      <c r="D22">
        <v>0.223</v>
      </c>
      <c r="L22" s="58" t="s">
        <v>76</v>
      </c>
      <c r="M22" s="61">
        <f>((50-11.509)/0.09)</f>
        <v>427.67777777777781</v>
      </c>
      <c r="O22" s="45"/>
      <c r="P22" s="14"/>
    </row>
    <row r="23" spans="1:23" x14ac:dyDescent="0.25">
      <c r="U23" s="45" t="s">
        <v>77</v>
      </c>
    </row>
    <row r="24" spans="1:23" x14ac:dyDescent="0.25">
      <c r="B24" s="56" t="s">
        <v>76</v>
      </c>
      <c r="C24" s="57">
        <f>((50-12.239)/0.3345)</f>
        <v>112.88789237668159</v>
      </c>
      <c r="U24" s="44" t="s">
        <v>73</v>
      </c>
      <c r="V24" s="44" t="s">
        <v>74</v>
      </c>
      <c r="W24" s="44" t="s">
        <v>75</v>
      </c>
    </row>
    <row r="25" spans="1:23" x14ac:dyDescent="0.25">
      <c r="U25">
        <v>0</v>
      </c>
      <c r="V25">
        <f>((W25-W25)/W25)*100</f>
        <v>0</v>
      </c>
      <c r="W25">
        <v>0.41899999999999998</v>
      </c>
    </row>
    <row r="26" spans="1:23" x14ac:dyDescent="0.25">
      <c r="L26" s="45" t="s">
        <v>80</v>
      </c>
      <c r="O26" s="45"/>
      <c r="U26">
        <v>5</v>
      </c>
      <c r="V26" s="14">
        <f>((W25-W26)/W25)*100</f>
        <v>30.071599045346066</v>
      </c>
      <c r="W26">
        <v>0.29299999999999998</v>
      </c>
    </row>
    <row r="27" spans="1:23" x14ac:dyDescent="0.25">
      <c r="L27" s="44" t="s">
        <v>73</v>
      </c>
      <c r="M27" s="44" t="s">
        <v>74</v>
      </c>
      <c r="N27" s="44" t="s">
        <v>75</v>
      </c>
      <c r="O27" s="44"/>
      <c r="P27" s="44"/>
      <c r="Q27" s="44"/>
      <c r="U27">
        <v>10</v>
      </c>
      <c r="V27" s="14">
        <f>((W25-W27)/W25)*100</f>
        <v>29.355608591885442</v>
      </c>
      <c r="W27">
        <v>0.29599999999999999</v>
      </c>
    </row>
    <row r="28" spans="1:23" x14ac:dyDescent="0.25">
      <c r="L28">
        <v>0</v>
      </c>
      <c r="M28">
        <f>((N28-N28)/N28)*100</f>
        <v>0</v>
      </c>
      <c r="N28">
        <v>0.41899999999999998</v>
      </c>
      <c r="U28">
        <v>25</v>
      </c>
      <c r="V28" s="14">
        <f>((W25-W28)/W25)*100</f>
        <v>29.594272076372313</v>
      </c>
      <c r="W28">
        <v>0.29499999999999998</v>
      </c>
    </row>
    <row r="29" spans="1:23" x14ac:dyDescent="0.25">
      <c r="A29" s="122" t="s">
        <v>80</v>
      </c>
      <c r="B29" s="122"/>
      <c r="L29">
        <v>5</v>
      </c>
      <c r="M29" s="14">
        <f>((N28-N29)/N28)*100</f>
        <v>19.570405727923621</v>
      </c>
      <c r="N29">
        <v>0.33700000000000002</v>
      </c>
      <c r="U29">
        <v>50</v>
      </c>
      <c r="V29" s="14">
        <f>((W25-W29)/W25)*100</f>
        <v>28.400954653937948</v>
      </c>
      <c r="W29">
        <v>0.3</v>
      </c>
    </row>
    <row r="30" spans="1:23" x14ac:dyDescent="0.25">
      <c r="B30" s="44" t="s">
        <v>73</v>
      </c>
      <c r="C30" s="44" t="s">
        <v>74</v>
      </c>
      <c r="D30" s="44" t="s">
        <v>75</v>
      </c>
      <c r="L30">
        <v>10</v>
      </c>
      <c r="M30" s="14">
        <f>((N28-N30)/N28)*100</f>
        <v>17.661097852028643</v>
      </c>
      <c r="N30">
        <v>0.34499999999999997</v>
      </c>
      <c r="U30">
        <v>100</v>
      </c>
      <c r="V30" s="14">
        <f>((W25-W30)/W30)*100</f>
        <v>41.07744107744108</v>
      </c>
      <c r="W30">
        <v>0.29699999999999999</v>
      </c>
    </row>
    <row r="31" spans="1:23" x14ac:dyDescent="0.25">
      <c r="B31">
        <v>0</v>
      </c>
      <c r="C31">
        <f>((D31-D31)/D31)*100</f>
        <v>0</v>
      </c>
      <c r="D31">
        <v>0.41899999999999998</v>
      </c>
      <c r="L31">
        <v>25</v>
      </c>
      <c r="M31" s="14">
        <f>((N28-N31)/N28)*100</f>
        <v>19.570405727923621</v>
      </c>
      <c r="N31">
        <v>0.33700000000000002</v>
      </c>
      <c r="V31" s="14"/>
    </row>
    <row r="32" spans="1:23" x14ac:dyDescent="0.25">
      <c r="B32">
        <v>5</v>
      </c>
      <c r="C32" s="14">
        <f>((D31-D32)/D31)*100</f>
        <v>18.377088305489249</v>
      </c>
      <c r="D32">
        <v>0.34200000000000003</v>
      </c>
      <c r="L32">
        <v>50</v>
      </c>
      <c r="M32" s="14">
        <f>((N28-N32)/N28)*100</f>
        <v>20.525059665871115</v>
      </c>
      <c r="N32">
        <v>0.33300000000000002</v>
      </c>
      <c r="U32" s="62" t="s">
        <v>76</v>
      </c>
      <c r="V32" s="63">
        <f>((50-19.08)/0.234)</f>
        <v>132.13675213675214</v>
      </c>
    </row>
    <row r="33" spans="1:23" x14ac:dyDescent="0.25">
      <c r="B33">
        <v>10</v>
      </c>
      <c r="C33" s="14">
        <f>((D31-D33)/D31)*100</f>
        <v>19.331742243436743</v>
      </c>
      <c r="D33">
        <v>0.33800000000000002</v>
      </c>
      <c r="L33">
        <v>100</v>
      </c>
      <c r="M33" s="14">
        <f>((N28-N33)/N28)*100</f>
        <v>21.47971360381861</v>
      </c>
      <c r="N33">
        <v>0.32900000000000001</v>
      </c>
    </row>
    <row r="34" spans="1:23" x14ac:dyDescent="0.25">
      <c r="B34">
        <v>25</v>
      </c>
      <c r="C34" s="14">
        <f>((D31-D34)/D31)*100</f>
        <v>20.525059665871115</v>
      </c>
      <c r="D34">
        <v>0.33300000000000002</v>
      </c>
      <c r="M34" s="14"/>
    </row>
    <row r="35" spans="1:23" x14ac:dyDescent="0.25">
      <c r="B35">
        <v>50</v>
      </c>
      <c r="C35" s="14">
        <f>((D31-D35)/D31)*100</f>
        <v>23.150357995226724</v>
      </c>
      <c r="D35">
        <v>0.32200000000000001</v>
      </c>
      <c r="L35" s="58" t="s">
        <v>76</v>
      </c>
      <c r="M35" s="61">
        <f>((50-12.926)/0.1119)</f>
        <v>331.31367292225201</v>
      </c>
      <c r="O35" s="45"/>
    </row>
    <row r="36" spans="1:23" x14ac:dyDescent="0.25">
      <c r="B36">
        <v>100</v>
      </c>
      <c r="C36" s="14">
        <f>((D31-D36)/D31)*100</f>
        <v>18.854415274462998</v>
      </c>
      <c r="D36">
        <v>0.34</v>
      </c>
    </row>
    <row r="38" spans="1:23" x14ac:dyDescent="0.25">
      <c r="B38" s="56" t="s">
        <v>76</v>
      </c>
      <c r="C38" s="57">
        <f>((50-13.786)/0.0922)</f>
        <v>392.77657266811275</v>
      </c>
    </row>
    <row r="39" spans="1:23" x14ac:dyDescent="0.25">
      <c r="L39" s="45" t="s">
        <v>81</v>
      </c>
    </row>
    <row r="40" spans="1:23" x14ac:dyDescent="0.25">
      <c r="L40" s="44" t="s">
        <v>73</v>
      </c>
      <c r="M40" s="44" t="s">
        <v>74</v>
      </c>
      <c r="N40" s="44" t="s">
        <v>75</v>
      </c>
    </row>
    <row r="41" spans="1:23" x14ac:dyDescent="0.25">
      <c r="L41">
        <v>0</v>
      </c>
      <c r="M41">
        <f>((N41-N41)/N41)*100</f>
        <v>0</v>
      </c>
      <c r="N41">
        <v>0.41899999999999998</v>
      </c>
    </row>
    <row r="42" spans="1:23" x14ac:dyDescent="0.25">
      <c r="L42">
        <v>5</v>
      </c>
      <c r="M42" s="14">
        <f>((N41-N42)/N41)*100</f>
        <v>20.286396181384241</v>
      </c>
      <c r="N42">
        <v>0.33400000000000002</v>
      </c>
    </row>
    <row r="43" spans="1:23" x14ac:dyDescent="0.25">
      <c r="A43" s="122" t="s">
        <v>81</v>
      </c>
      <c r="B43" s="122"/>
      <c r="L43">
        <v>10</v>
      </c>
      <c r="M43" s="14">
        <f>((N41-N43)/N41)*100</f>
        <v>16.94510739856802</v>
      </c>
      <c r="N43">
        <v>0.34799999999999998</v>
      </c>
    </row>
    <row r="44" spans="1:23" x14ac:dyDescent="0.25">
      <c r="B44" s="44" t="s">
        <v>73</v>
      </c>
      <c r="C44" s="44" t="s">
        <v>74</v>
      </c>
      <c r="D44" s="44" t="s">
        <v>75</v>
      </c>
      <c r="L44">
        <v>25</v>
      </c>
      <c r="M44" s="14">
        <f>((N41-N44)/N41)*100</f>
        <v>18.615751789976123</v>
      </c>
      <c r="N44">
        <v>0.34100000000000003</v>
      </c>
    </row>
    <row r="45" spans="1:23" x14ac:dyDescent="0.25">
      <c r="B45">
        <v>0</v>
      </c>
      <c r="C45">
        <f>((D45-D45)/D45)*100</f>
        <v>0</v>
      </c>
      <c r="D45">
        <v>0.41899999999999998</v>
      </c>
      <c r="L45">
        <v>50</v>
      </c>
      <c r="M45" s="14">
        <f>((N41-N45)/N41)*100</f>
        <v>14.797136038186157</v>
      </c>
      <c r="N45">
        <v>0.35699999999999998</v>
      </c>
      <c r="U45" s="45" t="s">
        <v>80</v>
      </c>
    </row>
    <row r="46" spans="1:23" x14ac:dyDescent="0.25">
      <c r="B46">
        <v>5</v>
      </c>
      <c r="C46" s="14">
        <f>((D45-D46)/D45)*100</f>
        <v>26.730310262529834</v>
      </c>
      <c r="D46">
        <v>0.307</v>
      </c>
      <c r="L46">
        <v>100</v>
      </c>
      <c r="M46" s="14">
        <f>((N41-N46)/N41)*100</f>
        <v>18.138424821002378</v>
      </c>
      <c r="N46">
        <v>0.34300000000000003</v>
      </c>
      <c r="U46" s="44" t="s">
        <v>73</v>
      </c>
      <c r="V46" s="44" t="s">
        <v>74</v>
      </c>
      <c r="W46" s="44" t="s">
        <v>75</v>
      </c>
    </row>
    <row r="47" spans="1:23" x14ac:dyDescent="0.25">
      <c r="B47">
        <v>10</v>
      </c>
      <c r="C47" s="14">
        <f>((D45-D47)/D45)*100</f>
        <v>26.968973747016705</v>
      </c>
      <c r="D47">
        <v>0.30599999999999999</v>
      </c>
      <c r="M47" s="14"/>
      <c r="U47">
        <v>0</v>
      </c>
      <c r="V47">
        <f>((W47-W47)/W47)</f>
        <v>0</v>
      </c>
      <c r="W47">
        <v>0.41899999999999998</v>
      </c>
    </row>
    <row r="48" spans="1:23" x14ac:dyDescent="0.25">
      <c r="B48">
        <v>25</v>
      </c>
      <c r="C48" s="14">
        <f>((D45-D48)/D45)*100</f>
        <v>28.162291169451077</v>
      </c>
      <c r="D48">
        <v>0.30099999999999999</v>
      </c>
      <c r="L48" s="58" t="s">
        <v>88</v>
      </c>
      <c r="M48" s="61">
        <f>((50-12.702)/0.662)</f>
        <v>56.341389728096679</v>
      </c>
      <c r="U48">
        <v>5</v>
      </c>
      <c r="V48" s="14">
        <f>((W47-W48)/W47)*100</f>
        <v>28.400954653937948</v>
      </c>
      <c r="W48">
        <v>0.3</v>
      </c>
    </row>
    <row r="49" spans="1:23" x14ac:dyDescent="0.25">
      <c r="B49">
        <v>50</v>
      </c>
      <c r="C49" s="14">
        <f>((D45-D49)/D45)*100</f>
        <v>28.878281622911693</v>
      </c>
      <c r="D49">
        <v>0.29799999999999999</v>
      </c>
      <c r="U49">
        <v>10</v>
      </c>
      <c r="V49" s="14">
        <f>((W47-W49)/W47)*100</f>
        <v>29.832935560859191</v>
      </c>
      <c r="W49">
        <v>0.29399999999999998</v>
      </c>
    </row>
    <row r="50" spans="1:23" x14ac:dyDescent="0.25">
      <c r="B50">
        <v>100</v>
      </c>
      <c r="C50" s="14">
        <f>((D45-D50)/D45)*100</f>
        <v>29.832935560859191</v>
      </c>
      <c r="D50">
        <v>0.29399999999999998</v>
      </c>
      <c r="L50" s="45" t="s">
        <v>82</v>
      </c>
      <c r="U50">
        <v>25</v>
      </c>
      <c r="V50" s="14">
        <f>((W47-W50)/W47)*100</f>
        <v>29.594272076372313</v>
      </c>
      <c r="W50">
        <v>0.29499999999999998</v>
      </c>
    </row>
    <row r="51" spans="1:23" x14ac:dyDescent="0.25">
      <c r="L51" s="44" t="s">
        <v>73</v>
      </c>
      <c r="M51" s="44" t="s">
        <v>74</v>
      </c>
      <c r="N51" s="44" t="s">
        <v>75</v>
      </c>
      <c r="P51" s="14"/>
      <c r="U51">
        <v>50</v>
      </c>
      <c r="V51" s="14">
        <f>((W47-W51)/W47)*100</f>
        <v>31.980906921241054</v>
      </c>
      <c r="W51">
        <v>0.28499999999999998</v>
      </c>
    </row>
    <row r="52" spans="1:23" x14ac:dyDescent="0.25">
      <c r="B52" s="56" t="s">
        <v>76</v>
      </c>
      <c r="C52" s="57">
        <f>((50-18.687)/0.1497)</f>
        <v>209.17167668670675</v>
      </c>
      <c r="L52">
        <v>0</v>
      </c>
      <c r="M52">
        <f>((N52-N52)/N52)*100</f>
        <v>0</v>
      </c>
      <c r="N52">
        <v>0.41899999999999998</v>
      </c>
      <c r="P52" s="14"/>
      <c r="U52">
        <v>100</v>
      </c>
      <c r="V52" s="14">
        <f>((W47-W52)/W47)*100</f>
        <v>31.264916467780434</v>
      </c>
      <c r="W52">
        <v>0.28799999999999998</v>
      </c>
    </row>
    <row r="53" spans="1:23" x14ac:dyDescent="0.25">
      <c r="L53">
        <v>5</v>
      </c>
      <c r="M53" s="14">
        <f>((N52-N53)/N52)*100</f>
        <v>19.809069212410492</v>
      </c>
      <c r="N53">
        <v>0.33600000000000002</v>
      </c>
      <c r="P53" s="14"/>
      <c r="V53" s="14"/>
    </row>
    <row r="54" spans="1:23" x14ac:dyDescent="0.25">
      <c r="L54">
        <v>10</v>
      </c>
      <c r="M54" s="14">
        <f>((N52-N54)/N52)*100</f>
        <v>20.047732696897366</v>
      </c>
      <c r="N54">
        <v>0.33500000000000002</v>
      </c>
      <c r="P54" s="14"/>
      <c r="U54" s="62" t="s">
        <v>76</v>
      </c>
      <c r="V54" s="63">
        <f>((50-20.268)/0.1551)</f>
        <v>191.69568020631851</v>
      </c>
    </row>
    <row r="55" spans="1:23" x14ac:dyDescent="0.25">
      <c r="L55">
        <v>25</v>
      </c>
      <c r="M55" s="14">
        <f>((N52-N55)/N52)*100</f>
        <v>19.331742243436743</v>
      </c>
      <c r="N55">
        <v>0.33800000000000002</v>
      </c>
      <c r="P55" s="14"/>
    </row>
    <row r="56" spans="1:23" x14ac:dyDescent="0.25">
      <c r="L56">
        <v>50</v>
      </c>
      <c r="M56" s="14">
        <f>((N52-N56)/N52)*100</f>
        <v>20.286396181384241</v>
      </c>
      <c r="N56">
        <v>0.33400000000000002</v>
      </c>
    </row>
    <row r="57" spans="1:23" x14ac:dyDescent="0.25">
      <c r="A57" s="124" t="s">
        <v>82</v>
      </c>
      <c r="B57" s="124"/>
      <c r="L57">
        <v>100</v>
      </c>
      <c r="M57" s="14">
        <f>((N52-N57)/N52)*100</f>
        <v>17.661097852028643</v>
      </c>
      <c r="N57">
        <v>0.34499999999999997</v>
      </c>
    </row>
    <row r="58" spans="1:23" x14ac:dyDescent="0.25">
      <c r="B58" s="44" t="s">
        <v>73</v>
      </c>
      <c r="C58" s="44" t="s">
        <v>74</v>
      </c>
      <c r="D58" s="44" t="s">
        <v>75</v>
      </c>
      <c r="M58" s="14"/>
    </row>
    <row r="59" spans="1:23" x14ac:dyDescent="0.25">
      <c r="B59">
        <v>0</v>
      </c>
      <c r="C59">
        <f>((D59-D59)/D59)*100</f>
        <v>0</v>
      </c>
      <c r="D59">
        <v>0.41899999999999998</v>
      </c>
      <c r="L59" s="60" t="s">
        <v>76</v>
      </c>
      <c r="M59" s="59">
        <f>((50-14.056)/0.0674)</f>
        <v>533.29376854599411</v>
      </c>
    </row>
    <row r="60" spans="1:23" x14ac:dyDescent="0.25">
      <c r="B60">
        <v>5</v>
      </c>
      <c r="C60" s="14">
        <f>((D59-D60)/D59)*100</f>
        <v>19.093078758949872</v>
      </c>
      <c r="D60">
        <v>0.33900000000000002</v>
      </c>
      <c r="M60" s="14"/>
    </row>
    <row r="61" spans="1:23" x14ac:dyDescent="0.25">
      <c r="B61">
        <v>10</v>
      </c>
      <c r="C61" s="14">
        <f>((D59-D61)/D59)*100</f>
        <v>23.150357995226724</v>
      </c>
      <c r="D61">
        <v>0.32200000000000001</v>
      </c>
    </row>
    <row r="62" spans="1:23" x14ac:dyDescent="0.25">
      <c r="B62">
        <v>25</v>
      </c>
      <c r="C62" s="14">
        <f>((D59-D62)/D59)*100</f>
        <v>20.525059665871115</v>
      </c>
      <c r="D62">
        <v>0.33300000000000002</v>
      </c>
      <c r="L62" s="45" t="s">
        <v>83</v>
      </c>
    </row>
    <row r="63" spans="1:23" x14ac:dyDescent="0.25">
      <c r="B63">
        <v>50</v>
      </c>
      <c r="C63" s="14">
        <f>((D59-D63)/D59)*100</f>
        <v>18.854415274462998</v>
      </c>
      <c r="D63">
        <v>0.34</v>
      </c>
      <c r="L63" s="44" t="s">
        <v>73</v>
      </c>
      <c r="M63" s="44" t="s">
        <v>74</v>
      </c>
      <c r="N63" s="44" t="s">
        <v>75</v>
      </c>
    </row>
    <row r="64" spans="1:23" x14ac:dyDescent="0.25">
      <c r="B64">
        <v>100</v>
      </c>
      <c r="C64" s="14">
        <f>((D59-D64)/D59)*100</f>
        <v>22.434367541766104</v>
      </c>
      <c r="D64">
        <v>0.32500000000000001</v>
      </c>
      <c r="L64">
        <v>0</v>
      </c>
      <c r="M64">
        <f>((N64-N64)/N64)*100</f>
        <v>0</v>
      </c>
      <c r="N64">
        <v>0.41899999999999998</v>
      </c>
    </row>
    <row r="65" spans="1:23" x14ac:dyDescent="0.25">
      <c r="C65" s="14"/>
      <c r="L65">
        <v>5</v>
      </c>
      <c r="M65" s="14">
        <f>((N64-N65)/N64)*100</f>
        <v>15.751789976133654</v>
      </c>
      <c r="N65">
        <v>0.35299999999999998</v>
      </c>
    </row>
    <row r="66" spans="1:23" x14ac:dyDescent="0.25">
      <c r="B66" s="56" t="s">
        <v>76</v>
      </c>
      <c r="C66" s="57">
        <f>((50-14.142)/0.1011)</f>
        <v>354.67853610286852</v>
      </c>
      <c r="L66">
        <v>10</v>
      </c>
      <c r="M66" s="14">
        <f>((N64-N66)/N64)*100</f>
        <v>11.694510739856799</v>
      </c>
      <c r="N66">
        <v>0.37</v>
      </c>
    </row>
    <row r="67" spans="1:23" x14ac:dyDescent="0.25">
      <c r="L67">
        <v>25</v>
      </c>
      <c r="M67" s="14">
        <f>((N64-N67)/N64)*100</f>
        <v>16.706443914081149</v>
      </c>
      <c r="N67">
        <v>0.34899999999999998</v>
      </c>
    </row>
    <row r="68" spans="1:23" x14ac:dyDescent="0.25">
      <c r="L68">
        <v>50</v>
      </c>
      <c r="M68" s="14">
        <f>((N64-N68)/N64)*100</f>
        <v>18.377088305489249</v>
      </c>
      <c r="N68">
        <v>0.34200000000000003</v>
      </c>
      <c r="U68" s="45" t="s">
        <v>81</v>
      </c>
    </row>
    <row r="69" spans="1:23" x14ac:dyDescent="0.25">
      <c r="L69">
        <v>100</v>
      </c>
      <c r="M69" s="14">
        <f>((N64-N69)/N64)*100</f>
        <v>19.093078758949872</v>
      </c>
      <c r="N69">
        <v>0.33900000000000002</v>
      </c>
      <c r="U69" s="44" t="s">
        <v>73</v>
      </c>
      <c r="V69" s="44" t="s">
        <v>74</v>
      </c>
      <c r="W69" s="44" t="s">
        <v>75</v>
      </c>
    </row>
    <row r="70" spans="1:23" x14ac:dyDescent="0.25">
      <c r="A70" s="122" t="s">
        <v>83</v>
      </c>
      <c r="B70" s="119"/>
      <c r="M70" s="14"/>
      <c r="U70">
        <v>0</v>
      </c>
      <c r="V70">
        <f>((W70-W70)/W70)*100</f>
        <v>0</v>
      </c>
      <c r="W70">
        <v>0.41899999999999998</v>
      </c>
    </row>
    <row r="71" spans="1:23" x14ac:dyDescent="0.25">
      <c r="B71" s="44" t="s">
        <v>73</v>
      </c>
      <c r="C71" s="44" t="s">
        <v>74</v>
      </c>
      <c r="D71" s="44" t="s">
        <v>75</v>
      </c>
      <c r="L71" s="58" t="s">
        <v>76</v>
      </c>
      <c r="M71" s="59">
        <f>((50-9.8528)/0.1185)</f>
        <v>338.79493670886075</v>
      </c>
      <c r="U71">
        <v>5</v>
      </c>
      <c r="V71" s="14">
        <f>((W70-W71)/W70)*100</f>
        <v>31.264916467780434</v>
      </c>
      <c r="W71">
        <v>0.28799999999999998</v>
      </c>
    </row>
    <row r="72" spans="1:23" x14ac:dyDescent="0.25">
      <c r="B72">
        <v>0</v>
      </c>
      <c r="C72">
        <f>((D72-D72)/D72)*100</f>
        <v>0</v>
      </c>
      <c r="D72">
        <v>0.41899999999999998</v>
      </c>
      <c r="U72">
        <v>10</v>
      </c>
      <c r="V72" s="14">
        <f>((W70-W72)/W70)*100</f>
        <v>34.606205250596652</v>
      </c>
      <c r="W72">
        <v>0.27400000000000002</v>
      </c>
    </row>
    <row r="73" spans="1:23" x14ac:dyDescent="0.25">
      <c r="B73">
        <v>5</v>
      </c>
      <c r="C73" s="14">
        <f>((D72-D73)/D72)*100</f>
        <v>19.809069212410492</v>
      </c>
      <c r="D73">
        <v>0.33600000000000002</v>
      </c>
      <c r="L73" s="45" t="s">
        <v>84</v>
      </c>
      <c r="U73">
        <v>25</v>
      </c>
      <c r="V73" s="14">
        <f>((W70-W73)/W70)*100</f>
        <v>31.980906921241054</v>
      </c>
      <c r="W73">
        <v>0.28499999999999998</v>
      </c>
    </row>
    <row r="74" spans="1:23" x14ac:dyDescent="0.25">
      <c r="B74">
        <v>10</v>
      </c>
      <c r="C74" s="14">
        <f>((D72-D74)/D72)*100</f>
        <v>19.570405727923621</v>
      </c>
      <c r="D74">
        <v>0.33700000000000002</v>
      </c>
      <c r="L74" s="44" t="s">
        <v>73</v>
      </c>
      <c r="M74" s="44" t="s">
        <v>74</v>
      </c>
      <c r="N74" s="44" t="s">
        <v>75</v>
      </c>
      <c r="U74">
        <v>50</v>
      </c>
      <c r="V74" s="14">
        <f>((W70-W74)/W70)*100</f>
        <v>33.651551312649161</v>
      </c>
      <c r="W74">
        <v>0.27800000000000002</v>
      </c>
    </row>
    <row r="75" spans="1:23" x14ac:dyDescent="0.25">
      <c r="B75">
        <v>25</v>
      </c>
      <c r="C75" s="14">
        <f>((D72-D75)/D72)*100</f>
        <v>20.525059665871115</v>
      </c>
      <c r="D75">
        <v>0.33300000000000002</v>
      </c>
      <c r="L75">
        <v>0</v>
      </c>
      <c r="M75">
        <f>((N75-N75)/N75)*100</f>
        <v>0</v>
      </c>
      <c r="N75">
        <v>0.41899999999999998</v>
      </c>
      <c r="U75">
        <v>100</v>
      </c>
      <c r="V75" s="14">
        <f>((W70-W75)/W70)*100</f>
        <v>36.038186157517892</v>
      </c>
      <c r="W75">
        <v>0.26800000000000002</v>
      </c>
    </row>
    <row r="76" spans="1:23" x14ac:dyDescent="0.25">
      <c r="B76">
        <v>50</v>
      </c>
      <c r="C76" s="14">
        <f>((D72-D76)/D72)*100</f>
        <v>19.570405727923621</v>
      </c>
      <c r="D76">
        <v>0.33700000000000002</v>
      </c>
      <c r="L76">
        <v>5</v>
      </c>
      <c r="M76" s="14">
        <f>((N75-N76)/N75)*100</f>
        <v>28.639618138424822</v>
      </c>
      <c r="N76">
        <v>0.29899999999999999</v>
      </c>
      <c r="V76" s="14"/>
    </row>
    <row r="77" spans="1:23" x14ac:dyDescent="0.25">
      <c r="B77">
        <v>100</v>
      </c>
      <c r="C77" s="14">
        <f>((D72-D77)/D72)*100</f>
        <v>21.957040572792359</v>
      </c>
      <c r="D77">
        <v>0.32700000000000001</v>
      </c>
      <c r="L77">
        <v>10</v>
      </c>
      <c r="M77" s="14">
        <f>((N75-N77)/N75)*100</f>
        <v>30.787589498806682</v>
      </c>
      <c r="N77">
        <v>0.28999999999999998</v>
      </c>
      <c r="U77" s="62" t="s">
        <v>76</v>
      </c>
      <c r="V77" s="63">
        <f>((50-22.308)/0.1773)</f>
        <v>156.18725324309079</v>
      </c>
    </row>
    <row r="78" spans="1:23" x14ac:dyDescent="0.25">
      <c r="C78" s="14"/>
      <c r="L78">
        <v>25</v>
      </c>
      <c r="M78" s="14">
        <f>((N75-N78)/N75)*100</f>
        <v>29.594272076372313</v>
      </c>
      <c r="N78">
        <v>0.29499999999999998</v>
      </c>
    </row>
    <row r="79" spans="1:23" x14ac:dyDescent="0.25">
      <c r="B79" s="56" t="s">
        <v>76</v>
      </c>
      <c r="C79" s="57">
        <f>((50-13.534)/0.1065)</f>
        <v>342.40375586854464</v>
      </c>
      <c r="L79">
        <v>50</v>
      </c>
      <c r="M79" s="14">
        <f>((N75-N79)/N75)*100</f>
        <v>26.014319809069207</v>
      </c>
      <c r="N79">
        <v>0.31</v>
      </c>
    </row>
    <row r="80" spans="1:23" x14ac:dyDescent="0.25">
      <c r="L80">
        <v>100</v>
      </c>
      <c r="M80" s="14">
        <f>((N75-N80)/N75)*100</f>
        <v>31.264916467780434</v>
      </c>
      <c r="N80">
        <v>0.28799999999999998</v>
      </c>
    </row>
    <row r="81" spans="1:23" x14ac:dyDescent="0.25">
      <c r="M81" s="14"/>
    </row>
    <row r="82" spans="1:23" x14ac:dyDescent="0.25">
      <c r="L82" s="58" t="s">
        <v>76</v>
      </c>
      <c r="M82" s="59">
        <f>((50-20.07)/0.1362)</f>
        <v>219.75036710719533</v>
      </c>
    </row>
    <row r="85" spans="1:23" x14ac:dyDescent="0.25">
      <c r="A85" s="122" t="s">
        <v>84</v>
      </c>
      <c r="B85" s="122"/>
      <c r="L85" s="45" t="s">
        <v>85</v>
      </c>
    </row>
    <row r="86" spans="1:23" x14ac:dyDescent="0.25">
      <c r="B86" s="44" t="s">
        <v>73</v>
      </c>
      <c r="C86" s="44" t="s">
        <v>74</v>
      </c>
      <c r="D86" s="44" t="s">
        <v>75</v>
      </c>
      <c r="L86" s="44" t="s">
        <v>73</v>
      </c>
      <c r="M86" s="44" t="s">
        <v>74</v>
      </c>
      <c r="N86" s="44" t="s">
        <v>75</v>
      </c>
    </row>
    <row r="87" spans="1:23" x14ac:dyDescent="0.25">
      <c r="B87">
        <v>0</v>
      </c>
      <c r="C87">
        <f>((D87-D87)/D87)*100</f>
        <v>0</v>
      </c>
      <c r="D87">
        <v>0.41899999999999998</v>
      </c>
      <c r="L87">
        <v>0</v>
      </c>
      <c r="M87">
        <f>((N87-N87)/N87)*100</f>
        <v>0</v>
      </c>
      <c r="N87">
        <v>0.41899999999999998</v>
      </c>
    </row>
    <row r="88" spans="1:23" x14ac:dyDescent="0.25">
      <c r="B88">
        <v>5</v>
      </c>
      <c r="C88" s="14">
        <f>((D87-D88)/D87)*100</f>
        <v>15.751789976133654</v>
      </c>
      <c r="D88">
        <v>0.35299999999999998</v>
      </c>
      <c r="L88">
        <v>5</v>
      </c>
      <c r="M88" s="14">
        <f>((N87-N88)/N87)*100</f>
        <v>19.093078758949872</v>
      </c>
      <c r="N88">
        <v>0.33900000000000002</v>
      </c>
    </row>
    <row r="89" spans="1:23" x14ac:dyDescent="0.25">
      <c r="B89">
        <v>10</v>
      </c>
      <c r="C89" s="14">
        <f>((D87-D89)/D87)*100</f>
        <v>18.377088305489249</v>
      </c>
      <c r="D89">
        <v>0.34200000000000003</v>
      </c>
      <c r="L89">
        <v>10</v>
      </c>
      <c r="M89" s="14">
        <f>((N87-N89)/N87)*100</f>
        <v>21.47971360381861</v>
      </c>
      <c r="N89">
        <v>0.32900000000000001</v>
      </c>
      <c r="U89" s="45" t="s">
        <v>82</v>
      </c>
    </row>
    <row r="90" spans="1:23" x14ac:dyDescent="0.25">
      <c r="B90">
        <v>25</v>
      </c>
      <c r="C90" s="14">
        <f>((D87-D90)/D87)*100</f>
        <v>20.763723150357986</v>
      </c>
      <c r="D90">
        <v>0.33200000000000002</v>
      </c>
      <c r="L90">
        <v>25</v>
      </c>
      <c r="M90" s="14">
        <f>((N87-N90)/N87)*100</f>
        <v>21.241050119331735</v>
      </c>
      <c r="N90">
        <v>0.33</v>
      </c>
      <c r="U90" s="44" t="s">
        <v>73</v>
      </c>
      <c r="V90" s="44" t="s">
        <v>74</v>
      </c>
      <c r="W90" s="44" t="s">
        <v>75</v>
      </c>
    </row>
    <row r="91" spans="1:23" x14ac:dyDescent="0.25">
      <c r="B91">
        <v>50</v>
      </c>
      <c r="C91" s="14">
        <f>((D87-D91)/D87)*100</f>
        <v>18.615751789976123</v>
      </c>
      <c r="D91">
        <v>0.34100000000000003</v>
      </c>
      <c r="L91">
        <v>50</v>
      </c>
      <c r="M91" s="14">
        <f>((N87-N91)/N87)*100</f>
        <v>22.434367541766104</v>
      </c>
      <c r="N91">
        <v>0.32500000000000001</v>
      </c>
      <c r="U91">
        <v>0</v>
      </c>
      <c r="V91">
        <f>((W91-W91)/W91)*100</f>
        <v>0</v>
      </c>
      <c r="W91">
        <v>0.41899999999999998</v>
      </c>
    </row>
    <row r="92" spans="1:23" x14ac:dyDescent="0.25">
      <c r="B92">
        <v>100</v>
      </c>
      <c r="C92" s="14">
        <f>((D87-D92)/D87)*100</f>
        <v>20.286396181384241</v>
      </c>
      <c r="D92">
        <v>0.33400000000000002</v>
      </c>
      <c r="L92">
        <v>100</v>
      </c>
      <c r="M92" s="14">
        <f>((N87-N92)/N87)*100</f>
        <v>19.331742243436743</v>
      </c>
      <c r="N92">
        <v>0.33800000000000002</v>
      </c>
      <c r="U92">
        <v>5</v>
      </c>
      <c r="V92" s="14">
        <f>((W91-W92)/W91)*100</f>
        <v>33.890214797136032</v>
      </c>
      <c r="W92">
        <v>0.27700000000000002</v>
      </c>
    </row>
    <row r="93" spans="1:23" x14ac:dyDescent="0.25">
      <c r="C93" s="14"/>
      <c r="M93" s="14"/>
      <c r="U93">
        <v>10</v>
      </c>
      <c r="V93" s="14">
        <f>((W91-W93)/W91)*100</f>
        <v>31.980906921241054</v>
      </c>
      <c r="W93">
        <v>0.28499999999999998</v>
      </c>
    </row>
    <row r="94" spans="1:23" x14ac:dyDescent="0.25">
      <c r="B94" s="56" t="s">
        <v>76</v>
      </c>
      <c r="C94" s="57">
        <f>((50-12.258)/0.1066)</f>
        <v>354.05253283302068</v>
      </c>
      <c r="L94" s="58" t="s">
        <v>76</v>
      </c>
      <c r="M94" s="59">
        <f>((50-14.566)/0.0852)</f>
        <v>415.89201877934272</v>
      </c>
      <c r="U94">
        <v>25</v>
      </c>
      <c r="V94" s="14">
        <f>((W91-W94)/W91)*100</f>
        <v>33.412887828162283</v>
      </c>
      <c r="W94">
        <v>0.27900000000000003</v>
      </c>
    </row>
    <row r="95" spans="1:23" x14ac:dyDescent="0.25">
      <c r="U95">
        <v>50</v>
      </c>
      <c r="V95" s="14">
        <f>((W91-W95)/W91)*100</f>
        <v>31.264916467780434</v>
      </c>
      <c r="W95">
        <v>0.28799999999999998</v>
      </c>
    </row>
    <row r="96" spans="1:23" x14ac:dyDescent="0.25">
      <c r="U96">
        <v>100</v>
      </c>
      <c r="V96" s="14">
        <f>((W91-W96)/W91)*100</f>
        <v>33.174224343675405</v>
      </c>
      <c r="W96">
        <v>0.28000000000000003</v>
      </c>
    </row>
    <row r="97" spans="1:23" x14ac:dyDescent="0.25">
      <c r="V97" s="14"/>
    </row>
    <row r="98" spans="1:23" x14ac:dyDescent="0.25">
      <c r="A98" s="122" t="s">
        <v>85</v>
      </c>
      <c r="B98" s="119"/>
      <c r="U98" s="62" t="s">
        <v>76</v>
      </c>
      <c r="V98" s="63">
        <f>((50-22.819)/0.1411)</f>
        <v>192.63642806520198</v>
      </c>
    </row>
    <row r="99" spans="1:23" x14ac:dyDescent="0.25">
      <c r="B99" s="44" t="s">
        <v>73</v>
      </c>
      <c r="C99" s="44" t="s">
        <v>74</v>
      </c>
      <c r="D99" s="44" t="s">
        <v>75</v>
      </c>
      <c r="L99" s="45" t="s">
        <v>86</v>
      </c>
    </row>
    <row r="100" spans="1:23" x14ac:dyDescent="0.25">
      <c r="B100">
        <v>0</v>
      </c>
      <c r="C100">
        <f>((D100-D100)/D100)*100</f>
        <v>0</v>
      </c>
      <c r="D100">
        <v>0.41899999999999998</v>
      </c>
      <c r="L100" s="44" t="s">
        <v>73</v>
      </c>
      <c r="M100" s="44" t="s">
        <v>74</v>
      </c>
      <c r="N100" s="44" t="s">
        <v>75</v>
      </c>
    </row>
    <row r="101" spans="1:23" x14ac:dyDescent="0.25">
      <c r="B101">
        <v>5</v>
      </c>
      <c r="C101" s="14">
        <f>((D100-D101)/D100)*100</f>
        <v>27.207637231503579</v>
      </c>
      <c r="D101">
        <v>0.30499999999999999</v>
      </c>
      <c r="L101">
        <v>0</v>
      </c>
      <c r="M101">
        <f>((N101-N101)/N101)*100</f>
        <v>0</v>
      </c>
      <c r="N101">
        <v>0.41899999999999998</v>
      </c>
    </row>
    <row r="102" spans="1:23" x14ac:dyDescent="0.25">
      <c r="B102">
        <v>10</v>
      </c>
      <c r="C102" s="14">
        <f>((D100-D102)/D100)*100</f>
        <v>21.957040572792359</v>
      </c>
      <c r="D102">
        <v>0.32700000000000001</v>
      </c>
      <c r="L102">
        <v>5</v>
      </c>
      <c r="M102" s="14">
        <f>((N101-N102)/N101)*100</f>
        <v>17.899761336515514</v>
      </c>
      <c r="N102">
        <v>0.34399999999999997</v>
      </c>
    </row>
    <row r="103" spans="1:23" x14ac:dyDescent="0.25">
      <c r="B103">
        <v>25</v>
      </c>
      <c r="C103" s="14">
        <f>((D100-D103)/D100)*100</f>
        <v>28.639618138424822</v>
      </c>
      <c r="D103">
        <v>0.29899999999999999</v>
      </c>
      <c r="L103">
        <v>10</v>
      </c>
      <c r="M103" s="14">
        <f>((N101-N103)/N101)*100</f>
        <v>18.377088305489249</v>
      </c>
      <c r="N103">
        <v>0.34200000000000003</v>
      </c>
    </row>
    <row r="104" spans="1:23" x14ac:dyDescent="0.25">
      <c r="B104">
        <v>50</v>
      </c>
      <c r="C104" s="14">
        <f>((D100-D104)/D100)*100</f>
        <v>31.264916467780434</v>
      </c>
      <c r="D104">
        <v>0.28799999999999998</v>
      </c>
      <c r="L104">
        <v>25</v>
      </c>
      <c r="M104" s="14">
        <f>((N101-N104)/N101)*100</f>
        <v>16.94510739856802</v>
      </c>
      <c r="N104">
        <v>0.34799999999999998</v>
      </c>
    </row>
    <row r="105" spans="1:23" x14ac:dyDescent="0.25">
      <c r="B105">
        <v>100</v>
      </c>
      <c r="C105" s="14">
        <f>((D100-D105)/D100)*100</f>
        <v>29.594272076372313</v>
      </c>
      <c r="D105">
        <v>0.29499999999999998</v>
      </c>
      <c r="L105">
        <v>50</v>
      </c>
      <c r="M105" s="14">
        <f>((N101-N105)/N101)*100</f>
        <v>18.377088305489249</v>
      </c>
      <c r="N105">
        <v>0.34200000000000003</v>
      </c>
    </row>
    <row r="106" spans="1:23" x14ac:dyDescent="0.25">
      <c r="C106" s="14"/>
      <c r="L106">
        <v>100</v>
      </c>
      <c r="M106" s="14">
        <f>((N101-N106)/N101)*100</f>
        <v>16.706443914081149</v>
      </c>
      <c r="N106">
        <v>0.34899999999999998</v>
      </c>
    </row>
    <row r="107" spans="1:23" x14ac:dyDescent="0.25">
      <c r="B107" s="56" t="s">
        <v>76</v>
      </c>
      <c r="C107" s="57">
        <f>((50-17.843)/0.1663)</f>
        <v>193.36740829825615</v>
      </c>
      <c r="M107" s="14"/>
    </row>
    <row r="108" spans="1:23" x14ac:dyDescent="0.25">
      <c r="L108" s="58" t="s">
        <v>76</v>
      </c>
      <c r="M108" s="59">
        <f>((50-12.572)/0.0677)</f>
        <v>552.85081240768091</v>
      </c>
    </row>
    <row r="110" spans="1:23" x14ac:dyDescent="0.25">
      <c r="L110" s="45" t="s">
        <v>84</v>
      </c>
      <c r="M110" s="45" t="s">
        <v>91</v>
      </c>
    </row>
    <row r="111" spans="1:23" x14ac:dyDescent="0.25">
      <c r="A111" s="122" t="s">
        <v>86</v>
      </c>
      <c r="B111" s="119"/>
      <c r="L111" s="44" t="s">
        <v>73</v>
      </c>
      <c r="M111" s="44" t="s">
        <v>74</v>
      </c>
      <c r="N111" s="44" t="s">
        <v>75</v>
      </c>
      <c r="U111" s="45" t="s">
        <v>83</v>
      </c>
    </row>
    <row r="112" spans="1:23" x14ac:dyDescent="0.25">
      <c r="B112" s="44" t="s">
        <v>73</v>
      </c>
      <c r="C112" s="44" t="s">
        <v>74</v>
      </c>
      <c r="D112" s="44" t="s">
        <v>75</v>
      </c>
      <c r="L112">
        <v>0</v>
      </c>
      <c r="M112">
        <f>((N112-N112)/N112)*100</f>
        <v>0</v>
      </c>
      <c r="N112">
        <v>0.41899999999999998</v>
      </c>
      <c r="U112" s="44" t="s">
        <v>73</v>
      </c>
      <c r="V112" s="44" t="s">
        <v>74</v>
      </c>
      <c r="W112" s="44" t="s">
        <v>75</v>
      </c>
    </row>
    <row r="113" spans="2:23" x14ac:dyDescent="0.25">
      <c r="B113">
        <v>0</v>
      </c>
      <c r="C113">
        <f>((D113-D113)/D113)*100</f>
        <v>0</v>
      </c>
      <c r="D113">
        <v>0.41899999999999998</v>
      </c>
      <c r="L113">
        <v>5</v>
      </c>
      <c r="M113" s="14">
        <f>((N112-N113)/N112)*100</f>
        <v>26.968973747016705</v>
      </c>
      <c r="N113">
        <v>0.30599999999999999</v>
      </c>
      <c r="U113">
        <v>0</v>
      </c>
      <c r="V113">
        <f>((W113-W113)/W113)*100</f>
        <v>0</v>
      </c>
      <c r="W113">
        <v>0.41899999999999998</v>
      </c>
    </row>
    <row r="114" spans="2:23" x14ac:dyDescent="0.25">
      <c r="B114">
        <v>5</v>
      </c>
      <c r="C114" s="14">
        <f>((D113-D114)/D113)*100</f>
        <v>15.990453460620527</v>
      </c>
      <c r="D114">
        <v>0.35199999999999998</v>
      </c>
      <c r="L114">
        <v>10</v>
      </c>
      <c r="M114" s="14">
        <f>((N112-N114)/N112)*100</f>
        <v>28.400954653937948</v>
      </c>
      <c r="N114">
        <v>0.3</v>
      </c>
      <c r="U114">
        <v>5</v>
      </c>
      <c r="V114" s="14">
        <f>((W113-W114)/W113)*100</f>
        <v>32.4582338902148</v>
      </c>
      <c r="W114">
        <v>0.28299999999999997</v>
      </c>
    </row>
    <row r="115" spans="2:23" x14ac:dyDescent="0.25">
      <c r="B115">
        <v>10</v>
      </c>
      <c r="C115" s="14">
        <f>((D113-D115)/D113)*100</f>
        <v>15.035799522673033</v>
      </c>
      <c r="D115">
        <v>0.35599999999999998</v>
      </c>
      <c r="L115">
        <v>25</v>
      </c>
      <c r="M115" s="14">
        <f>((N112-N115)/N112)*100</f>
        <v>25.29832935560859</v>
      </c>
      <c r="N115">
        <v>0.313</v>
      </c>
      <c r="U115">
        <v>10</v>
      </c>
      <c r="V115" s="14">
        <f>((W113-W115)/W113)*100</f>
        <v>31.503579952267309</v>
      </c>
      <c r="W115">
        <v>0.28699999999999998</v>
      </c>
    </row>
    <row r="116" spans="2:23" x14ac:dyDescent="0.25">
      <c r="B116">
        <v>25</v>
      </c>
      <c r="C116" s="14">
        <f>((D113-D116)/D113)*100</f>
        <v>14.797136038186157</v>
      </c>
      <c r="D116">
        <v>0.35699999999999998</v>
      </c>
      <c r="L116">
        <v>50</v>
      </c>
      <c r="M116" s="14">
        <f>((N112-N116)/N112)*100</f>
        <v>25.536992840095461</v>
      </c>
      <c r="N116">
        <v>0.312</v>
      </c>
      <c r="U116">
        <v>25</v>
      </c>
      <c r="V116" s="14">
        <f>((W113-W116)/W113)*100</f>
        <v>30.787589498806682</v>
      </c>
      <c r="W116">
        <v>0.28999999999999998</v>
      </c>
    </row>
    <row r="117" spans="2:23" x14ac:dyDescent="0.25">
      <c r="B117">
        <v>50</v>
      </c>
      <c r="C117" s="14">
        <f>((D113-D117)/D113)*100</f>
        <v>16.706443914081149</v>
      </c>
      <c r="D117">
        <v>0.34899999999999998</v>
      </c>
      <c r="L117">
        <v>100</v>
      </c>
      <c r="M117" s="14">
        <f>((N112-N117)/N112)*100</f>
        <v>27.207637231503579</v>
      </c>
      <c r="N117">
        <v>0.30499999999999999</v>
      </c>
      <c r="U117">
        <v>50</v>
      </c>
      <c r="V117" s="14">
        <f>((W113-W117)/W113)*100</f>
        <v>30.310262529832936</v>
      </c>
      <c r="W117">
        <v>0.29199999999999998</v>
      </c>
    </row>
    <row r="118" spans="2:23" x14ac:dyDescent="0.25">
      <c r="B118">
        <v>100</v>
      </c>
      <c r="C118" s="14">
        <f>((D113-D118)/D113)*100</f>
        <v>14.319809069212411</v>
      </c>
      <c r="D118">
        <v>0.35899999999999999</v>
      </c>
      <c r="M118" s="14"/>
      <c r="U118">
        <v>100</v>
      </c>
      <c r="V118" s="14">
        <f>((W113-W118)/W113)*100</f>
        <v>30.787589498806682</v>
      </c>
      <c r="W118">
        <v>0.28999999999999998</v>
      </c>
    </row>
    <row r="119" spans="2:23" x14ac:dyDescent="0.25">
      <c r="C119" s="14"/>
      <c r="L119" s="62" t="s">
        <v>76</v>
      </c>
      <c r="M119" s="63">
        <f>((50-18.627)/0.1139)</f>
        <v>275.44337137840211</v>
      </c>
      <c r="V119" s="14"/>
    </row>
    <row r="120" spans="2:23" x14ac:dyDescent="0.25">
      <c r="B120" s="56" t="s">
        <v>76</v>
      </c>
      <c r="C120" s="57">
        <f>((50-10.908)/0.06)</f>
        <v>651.5333333333333</v>
      </c>
      <c r="U120" s="62" t="s">
        <v>76</v>
      </c>
      <c r="V120" s="63">
        <f>((50-22.008)/0.1253)</f>
        <v>223.39984038308063</v>
      </c>
    </row>
    <row r="133" spans="12:14" x14ac:dyDescent="0.25">
      <c r="L133" s="45" t="s">
        <v>85</v>
      </c>
    </row>
    <row r="134" spans="12:14" x14ac:dyDescent="0.25">
      <c r="L134" s="44" t="s">
        <v>73</v>
      </c>
      <c r="M134" s="44" t="s">
        <v>74</v>
      </c>
      <c r="N134" s="44" t="s">
        <v>75</v>
      </c>
    </row>
    <row r="135" spans="12:14" x14ac:dyDescent="0.25">
      <c r="L135">
        <v>0</v>
      </c>
      <c r="M135">
        <f>((N135-N135)/N135)*100</f>
        <v>0</v>
      </c>
      <c r="N135">
        <v>0.41899999999999998</v>
      </c>
    </row>
    <row r="136" spans="12:14" x14ac:dyDescent="0.25">
      <c r="L136">
        <v>5</v>
      </c>
      <c r="M136" s="14">
        <f>((N135-N136)/N135)*100</f>
        <v>28.400954653937948</v>
      </c>
      <c r="N136">
        <v>0.3</v>
      </c>
    </row>
    <row r="137" spans="12:14" x14ac:dyDescent="0.25">
      <c r="L137">
        <v>10</v>
      </c>
      <c r="M137" s="14">
        <f>((N135-N137)/N135)*100</f>
        <v>29.832935560859191</v>
      </c>
      <c r="N137">
        <v>0.29399999999999998</v>
      </c>
    </row>
    <row r="138" spans="12:14" x14ac:dyDescent="0.25">
      <c r="L138">
        <v>25</v>
      </c>
      <c r="M138" s="14">
        <f>((N135-N138)/N135)*100</f>
        <v>28.878281622911693</v>
      </c>
      <c r="N138">
        <v>0.29799999999999999</v>
      </c>
    </row>
    <row r="139" spans="12:14" x14ac:dyDescent="0.25">
      <c r="L139">
        <v>50</v>
      </c>
      <c r="M139" s="14">
        <f>((N135-N139)/N135)*100</f>
        <v>27.684964200477324</v>
      </c>
      <c r="N139">
        <v>0.30299999999999999</v>
      </c>
    </row>
    <row r="140" spans="12:14" x14ac:dyDescent="0.25">
      <c r="L140">
        <v>100</v>
      </c>
      <c r="M140" s="14">
        <f>((N135-N140)/N135)*100</f>
        <v>21.241050119331735</v>
      </c>
      <c r="N140">
        <v>0.33</v>
      </c>
    </row>
    <row r="141" spans="12:14" x14ac:dyDescent="0.25">
      <c r="M141" s="14"/>
    </row>
    <row r="142" spans="12:14" x14ac:dyDescent="0.25">
      <c r="L142" s="62" t="s">
        <v>76</v>
      </c>
      <c r="M142" s="63">
        <f>((50-21.085)/0.502)</f>
        <v>57.599601593625493</v>
      </c>
    </row>
    <row r="154" spans="12:14" x14ac:dyDescent="0.25">
      <c r="L154" s="45" t="s">
        <v>86</v>
      </c>
    </row>
    <row r="155" spans="12:14" x14ac:dyDescent="0.25">
      <c r="L155" s="44" t="s">
        <v>73</v>
      </c>
      <c r="M155" s="44" t="s">
        <v>74</v>
      </c>
      <c r="N155" s="44" t="s">
        <v>75</v>
      </c>
    </row>
    <row r="156" spans="12:14" x14ac:dyDescent="0.25">
      <c r="L156">
        <v>0</v>
      </c>
      <c r="M156">
        <f>((N156-N156)/N156)*100</f>
        <v>0</v>
      </c>
      <c r="N156">
        <v>0.41899999999999998</v>
      </c>
    </row>
    <row r="157" spans="12:14" x14ac:dyDescent="0.25">
      <c r="L157">
        <v>5</v>
      </c>
      <c r="M157" s="14">
        <f>((N156-N157)/N156)*100</f>
        <v>25.29832935560859</v>
      </c>
      <c r="N157">
        <v>0.313</v>
      </c>
    </row>
    <row r="158" spans="12:14" x14ac:dyDescent="0.25">
      <c r="L158">
        <v>10</v>
      </c>
      <c r="M158" s="14">
        <f>((N156-N158)/N156)*100</f>
        <v>22.434367541766104</v>
      </c>
      <c r="N158">
        <v>0.32500000000000001</v>
      </c>
    </row>
    <row r="159" spans="12:14" x14ac:dyDescent="0.25">
      <c r="L159">
        <v>25</v>
      </c>
      <c r="M159" s="14">
        <f>((N156-N159)/N156)*100</f>
        <v>24.821002386634841</v>
      </c>
      <c r="N159">
        <v>0.315</v>
      </c>
    </row>
    <row r="160" spans="12:14" x14ac:dyDescent="0.25">
      <c r="L160">
        <v>50</v>
      </c>
      <c r="M160" s="14">
        <f>((N156-N160)/N156)*100</f>
        <v>22.195704057279229</v>
      </c>
      <c r="N160">
        <v>0.32600000000000001</v>
      </c>
    </row>
    <row r="161" spans="12:14" x14ac:dyDescent="0.25">
      <c r="L161">
        <v>100</v>
      </c>
      <c r="M161" s="14">
        <f>((N156-N161)/N156)*100</f>
        <v>22.195704057279229</v>
      </c>
      <c r="N161">
        <v>0.32600000000000001</v>
      </c>
    </row>
    <row r="162" spans="12:14" x14ac:dyDescent="0.25">
      <c r="M162" s="14"/>
    </row>
    <row r="163" spans="12:14" x14ac:dyDescent="0.25">
      <c r="L163" s="62" t="s">
        <v>76</v>
      </c>
      <c r="M163" s="63">
        <f>((50-14.802)/0.2305)</f>
        <v>152.70281995661605</v>
      </c>
    </row>
  </sheetData>
  <mergeCells count="12">
    <mergeCell ref="A111:B111"/>
    <mergeCell ref="A43:B43"/>
    <mergeCell ref="A57:B57"/>
    <mergeCell ref="A70:B70"/>
    <mergeCell ref="A85:B85"/>
    <mergeCell ref="A98:B98"/>
    <mergeCell ref="U1:V1"/>
    <mergeCell ref="A2:B2"/>
    <mergeCell ref="A15:B15"/>
    <mergeCell ref="A1:B1"/>
    <mergeCell ref="A29:B29"/>
    <mergeCell ref="L1:M1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56117-3AB7-4305-9291-58E27DC17BEB}">
  <dimension ref="B2:AF36"/>
  <sheetViews>
    <sheetView topLeftCell="K2" zoomScale="70" zoomScaleNormal="70" workbookViewId="0">
      <selection activeCell="W20" sqref="W20"/>
    </sheetView>
  </sheetViews>
  <sheetFormatPr defaultRowHeight="15" x14ac:dyDescent="0.25"/>
  <cols>
    <col min="2" max="2" width="10.28515625" customWidth="1"/>
    <col min="8" max="8" width="5" customWidth="1"/>
    <col min="9" max="9" width="12.85546875" customWidth="1"/>
    <col min="10" max="10" width="10.140625" customWidth="1"/>
    <col min="14" max="14" width="9.85546875" customWidth="1"/>
    <col min="17" max="17" width="8.7109375" customWidth="1"/>
    <col min="18" max="18" width="12.28515625" customWidth="1"/>
    <col min="19" max="19" width="10.5703125" customWidth="1"/>
    <col min="20" max="20" width="7.7109375" customWidth="1"/>
    <col min="21" max="21" width="11.5703125" customWidth="1"/>
    <col min="22" max="22" width="12.85546875" customWidth="1"/>
    <col min="28" max="28" width="9.42578125" customWidth="1"/>
    <col min="29" max="29" width="10.7109375" customWidth="1"/>
  </cols>
  <sheetData>
    <row r="2" spans="2:32" x14ac:dyDescent="0.25">
      <c r="B2" s="44" t="s">
        <v>70</v>
      </c>
    </row>
    <row r="3" spans="2:32" x14ac:dyDescent="0.25">
      <c r="B3" s="126" t="s">
        <v>29</v>
      </c>
      <c r="C3" s="127" t="s">
        <v>44</v>
      </c>
      <c r="D3" s="127"/>
      <c r="E3" s="127"/>
      <c r="F3" s="126" t="s">
        <v>45</v>
      </c>
      <c r="G3" s="126" t="s">
        <v>50</v>
      </c>
    </row>
    <row r="4" spans="2:32" x14ac:dyDescent="0.25">
      <c r="B4" s="126"/>
      <c r="C4" s="18" t="s">
        <v>2</v>
      </c>
      <c r="D4" s="18" t="s">
        <v>3</v>
      </c>
      <c r="E4" s="18" t="s">
        <v>4</v>
      </c>
      <c r="F4" s="126"/>
      <c r="G4" s="126"/>
    </row>
    <row r="5" spans="2:32" x14ac:dyDescent="0.25">
      <c r="B5" s="19" t="s">
        <v>38</v>
      </c>
      <c r="C5" s="20">
        <v>84.03</v>
      </c>
      <c r="D5" s="20">
        <v>73.03</v>
      </c>
      <c r="E5" s="20">
        <v>66.400000000000006</v>
      </c>
      <c r="F5" s="19">
        <f>SUM(C5:E5)</f>
        <v>223.46</v>
      </c>
      <c r="G5" s="21">
        <f>F5/3</f>
        <v>74.486666666666665</v>
      </c>
      <c r="I5" s="128" t="s">
        <v>52</v>
      </c>
      <c r="J5" s="128"/>
      <c r="K5" s="17"/>
      <c r="L5" s="17"/>
      <c r="M5" s="17"/>
      <c r="N5" s="17"/>
      <c r="O5" s="17"/>
      <c r="P5" s="17"/>
      <c r="R5" s="40" t="s">
        <v>47</v>
      </c>
      <c r="S5" s="39"/>
      <c r="U5" s="37" t="s">
        <v>29</v>
      </c>
      <c r="V5" s="37" t="s">
        <v>99</v>
      </c>
      <c r="W5" s="37" t="s">
        <v>100</v>
      </c>
      <c r="X5" s="37" t="s">
        <v>65</v>
      </c>
      <c r="Y5" s="136"/>
      <c r="Z5" s="17"/>
      <c r="AA5" s="17"/>
    </row>
    <row r="6" spans="2:32" x14ac:dyDescent="0.25">
      <c r="B6" s="19" t="s">
        <v>40</v>
      </c>
      <c r="C6" s="19">
        <v>74.55</v>
      </c>
      <c r="D6" s="19">
        <v>69.53</v>
      </c>
      <c r="E6" s="19">
        <v>57.76</v>
      </c>
      <c r="F6" s="19">
        <f t="shared" ref="F6:F13" si="0">SUM(C6:E6)</f>
        <v>201.83999999999997</v>
      </c>
      <c r="G6" s="21">
        <f t="shared" ref="G6:G13" si="1">F6/3</f>
        <v>67.279999999999987</v>
      </c>
      <c r="I6" s="126" t="s">
        <v>30</v>
      </c>
      <c r="J6" s="127" t="s">
        <v>31</v>
      </c>
      <c r="K6" s="127"/>
      <c r="L6" s="127"/>
      <c r="M6" s="126" t="s">
        <v>18</v>
      </c>
      <c r="N6" s="126" t="s">
        <v>26</v>
      </c>
      <c r="O6" s="17"/>
      <c r="P6" s="17"/>
      <c r="R6" s="17" t="s">
        <v>41</v>
      </c>
      <c r="S6" s="26">
        <f>N8</f>
        <v>73.252222222222215</v>
      </c>
      <c r="U6" t="s">
        <v>102</v>
      </c>
      <c r="V6">
        <v>73.25</v>
      </c>
      <c r="W6">
        <v>3.79</v>
      </c>
      <c r="X6" s="1">
        <v>7.53</v>
      </c>
      <c r="Y6" s="17"/>
      <c r="Z6" s="17"/>
      <c r="AA6" s="17"/>
    </row>
    <row r="7" spans="2:32" x14ac:dyDescent="0.25">
      <c r="B7" s="19" t="s">
        <v>39</v>
      </c>
      <c r="C7" s="19">
        <v>80.08</v>
      </c>
      <c r="D7" s="19">
        <v>71.61</v>
      </c>
      <c r="E7" s="19">
        <v>82.28</v>
      </c>
      <c r="F7" s="19">
        <f t="shared" si="0"/>
        <v>233.97</v>
      </c>
      <c r="G7" s="21">
        <f t="shared" si="1"/>
        <v>77.989999999999995</v>
      </c>
      <c r="I7" s="126"/>
      <c r="J7" s="18" t="s">
        <v>21</v>
      </c>
      <c r="K7" s="18" t="s">
        <v>22</v>
      </c>
      <c r="L7" s="18" t="s">
        <v>23</v>
      </c>
      <c r="M7" s="126"/>
      <c r="N7" s="126"/>
      <c r="O7" s="17"/>
      <c r="P7" s="17"/>
      <c r="R7" s="17" t="s">
        <v>41</v>
      </c>
      <c r="S7" s="26">
        <f>N9</f>
        <v>72.574444444444438</v>
      </c>
      <c r="U7" t="s">
        <v>103</v>
      </c>
      <c r="V7">
        <v>72.569999999999993</v>
      </c>
      <c r="W7">
        <v>4.1100000000000003</v>
      </c>
      <c r="X7" s="1">
        <v>9.3000000000000007</v>
      </c>
      <c r="Y7" s="17"/>
      <c r="Z7" s="17"/>
      <c r="AA7" s="17"/>
    </row>
    <row r="8" spans="2:32" x14ac:dyDescent="0.25">
      <c r="B8" s="19" t="s">
        <v>6</v>
      </c>
      <c r="C8" s="19">
        <v>73.599999999999994</v>
      </c>
      <c r="D8" s="19">
        <v>65.09</v>
      </c>
      <c r="E8" s="19">
        <v>71.709999999999994</v>
      </c>
      <c r="F8" s="19">
        <f t="shared" si="0"/>
        <v>210.39999999999998</v>
      </c>
      <c r="G8" s="21">
        <f t="shared" si="1"/>
        <v>70.133333333333326</v>
      </c>
      <c r="I8" s="19" t="s">
        <v>41</v>
      </c>
      <c r="J8" s="19">
        <f>F5</f>
        <v>223.46</v>
      </c>
      <c r="K8" s="19">
        <f>F6</f>
        <v>201.83999999999997</v>
      </c>
      <c r="L8" s="19">
        <f>F7</f>
        <v>233.97</v>
      </c>
      <c r="M8" s="22">
        <f>SUM(J8:L8)</f>
        <v>659.27</v>
      </c>
      <c r="N8" s="21">
        <f>AVERAGE(J8:L8)/3</f>
        <v>73.252222222222215</v>
      </c>
      <c r="O8" s="17"/>
      <c r="P8" s="17"/>
      <c r="R8" s="17" t="s">
        <v>41</v>
      </c>
      <c r="S8" s="26">
        <f>N10</f>
        <v>72.507777777777775</v>
      </c>
      <c r="U8" s="31" t="s">
        <v>104</v>
      </c>
      <c r="V8" s="31">
        <v>72.52</v>
      </c>
      <c r="W8" s="31">
        <v>3.86</v>
      </c>
      <c r="X8" s="1">
        <v>8.43</v>
      </c>
      <c r="Y8" s="17"/>
      <c r="Z8" s="17"/>
      <c r="AA8" s="17"/>
    </row>
    <row r="9" spans="2:32" x14ac:dyDescent="0.25">
      <c r="B9" s="19" t="s">
        <v>7</v>
      </c>
      <c r="C9" s="19">
        <v>74.45</v>
      </c>
      <c r="D9" s="19">
        <v>74.08</v>
      </c>
      <c r="E9" s="19">
        <v>69.58</v>
      </c>
      <c r="F9" s="19">
        <f t="shared" si="0"/>
        <v>218.11</v>
      </c>
      <c r="G9" s="21">
        <f t="shared" si="1"/>
        <v>72.703333333333333</v>
      </c>
      <c r="I9" s="19" t="s">
        <v>24</v>
      </c>
      <c r="J9" s="19">
        <f>F8</f>
        <v>210.39999999999998</v>
      </c>
      <c r="K9" s="19">
        <f>F9</f>
        <v>218.11</v>
      </c>
      <c r="L9" s="19">
        <f>F10</f>
        <v>224.65999999999997</v>
      </c>
      <c r="M9" s="22">
        <f>SUM(J9:L9)</f>
        <v>653.16999999999996</v>
      </c>
      <c r="N9" s="21">
        <f>AVERAGE(J9:L9)/3</f>
        <v>72.574444444444438</v>
      </c>
      <c r="O9" s="17"/>
      <c r="P9" s="17"/>
      <c r="R9" s="40" t="s">
        <v>59</v>
      </c>
      <c r="S9" s="40" t="s">
        <v>60</v>
      </c>
      <c r="U9" s="33" t="s">
        <v>101</v>
      </c>
      <c r="V9" s="66" t="s">
        <v>60</v>
      </c>
      <c r="W9" s="39" t="s">
        <v>60</v>
      </c>
      <c r="X9" s="37" t="s">
        <v>60</v>
      </c>
      <c r="Y9" s="17"/>
      <c r="Z9" s="17"/>
      <c r="AA9" s="17"/>
    </row>
    <row r="10" spans="2:32" x14ac:dyDescent="0.25">
      <c r="B10" s="19" t="s">
        <v>8</v>
      </c>
      <c r="C10" s="19">
        <v>70.61</v>
      </c>
      <c r="D10" s="19">
        <v>81.78</v>
      </c>
      <c r="E10" s="19">
        <v>72.27</v>
      </c>
      <c r="F10" s="19">
        <f t="shared" si="0"/>
        <v>224.65999999999997</v>
      </c>
      <c r="G10" s="21">
        <f t="shared" si="1"/>
        <v>74.886666666666656</v>
      </c>
      <c r="I10" s="19" t="s">
        <v>25</v>
      </c>
      <c r="J10" s="19">
        <f>F11</f>
        <v>217.8</v>
      </c>
      <c r="K10" s="19">
        <f>F12</f>
        <v>226.55</v>
      </c>
      <c r="L10" s="19">
        <f>F13</f>
        <v>208.22000000000003</v>
      </c>
      <c r="M10" s="22">
        <f>SUM(J10:L10)</f>
        <v>652.57000000000005</v>
      </c>
      <c r="N10" s="21">
        <f>AVERAGE(J10:L10)/3</f>
        <v>72.507777777777775</v>
      </c>
      <c r="O10" s="17"/>
      <c r="P10" s="17"/>
      <c r="R10" s="17" t="s">
        <v>21</v>
      </c>
      <c r="S10" s="26">
        <f>J12</f>
        <v>72.40666666666668</v>
      </c>
      <c r="U10" t="s">
        <v>94</v>
      </c>
      <c r="V10">
        <v>72.41</v>
      </c>
      <c r="W10">
        <v>3.86</v>
      </c>
      <c r="X10" s="1">
        <v>9.49</v>
      </c>
      <c r="Y10" s="17"/>
      <c r="Z10" s="17"/>
      <c r="AA10" s="17"/>
    </row>
    <row r="11" spans="2:32" x14ac:dyDescent="0.25">
      <c r="B11" s="19" t="s">
        <v>9</v>
      </c>
      <c r="C11" s="19">
        <v>75.53</v>
      </c>
      <c r="D11" s="19">
        <v>73.150000000000006</v>
      </c>
      <c r="E11" s="19">
        <v>69.12</v>
      </c>
      <c r="F11" s="19">
        <f t="shared" si="0"/>
        <v>217.8</v>
      </c>
      <c r="G11" s="21">
        <f t="shared" si="1"/>
        <v>72.600000000000009</v>
      </c>
      <c r="I11" s="19" t="s">
        <v>18</v>
      </c>
      <c r="J11" s="19">
        <f>SUM(J8:J10)</f>
        <v>651.66000000000008</v>
      </c>
      <c r="K11" s="19">
        <f>SUM(K8:K10)</f>
        <v>646.5</v>
      </c>
      <c r="L11" s="19">
        <f>SUM(L8:L10)</f>
        <v>666.85</v>
      </c>
      <c r="M11" s="74">
        <f>SUM(M8:M10)</f>
        <v>1965.0100000000002</v>
      </c>
      <c r="N11" s="23"/>
      <c r="O11" s="17"/>
      <c r="P11" s="17"/>
      <c r="R11" s="17" t="s">
        <v>22</v>
      </c>
      <c r="S11" s="26">
        <f>K12</f>
        <v>71.833333333333329</v>
      </c>
      <c r="U11" t="s">
        <v>95</v>
      </c>
      <c r="V11">
        <v>71.83</v>
      </c>
      <c r="W11">
        <v>4.1100000000000003</v>
      </c>
      <c r="X11" s="1">
        <v>7.98</v>
      </c>
      <c r="Y11" s="17"/>
      <c r="Z11" s="17"/>
      <c r="AA11" s="17"/>
    </row>
    <row r="12" spans="2:32" x14ac:dyDescent="0.25">
      <c r="B12" s="19" t="s">
        <v>10</v>
      </c>
      <c r="C12" s="19">
        <v>74.44</v>
      </c>
      <c r="D12" s="19">
        <v>74.44</v>
      </c>
      <c r="E12" s="19">
        <v>77.67</v>
      </c>
      <c r="F12" s="19">
        <f t="shared" si="0"/>
        <v>226.55</v>
      </c>
      <c r="G12" s="21">
        <f t="shared" si="1"/>
        <v>75.516666666666666</v>
      </c>
      <c r="I12" s="19" t="s">
        <v>26</v>
      </c>
      <c r="J12" s="21">
        <f>AVERAGE(J8:J10)/3</f>
        <v>72.40666666666668</v>
      </c>
      <c r="K12" s="21">
        <f>AVERAGE(K8:K10)/3</f>
        <v>71.833333333333329</v>
      </c>
      <c r="L12" s="21">
        <f>AVERAGE(L8:L10)/3</f>
        <v>74.094444444444449</v>
      </c>
      <c r="M12" s="23"/>
      <c r="N12" s="23"/>
      <c r="O12" s="17"/>
      <c r="P12" s="17"/>
      <c r="R12" s="17" t="s">
        <v>23</v>
      </c>
      <c r="S12" s="26">
        <f>L12</f>
        <v>74.094444444444449</v>
      </c>
      <c r="U12" t="s">
        <v>96</v>
      </c>
      <c r="V12">
        <v>74.09</v>
      </c>
      <c r="W12">
        <v>3.79</v>
      </c>
      <c r="X12" s="1">
        <v>7.8</v>
      </c>
      <c r="Y12" s="17"/>
      <c r="Z12" s="17"/>
      <c r="AA12" s="17"/>
      <c r="AD12" s="68"/>
      <c r="AE12" s="29"/>
      <c r="AF12" s="1"/>
    </row>
    <row r="13" spans="2:32" x14ac:dyDescent="0.25">
      <c r="B13" s="19" t="s">
        <v>11</v>
      </c>
      <c r="C13" s="19">
        <v>70.61</v>
      </c>
      <c r="D13" s="19">
        <v>69.5</v>
      </c>
      <c r="E13" s="19">
        <v>68.11</v>
      </c>
      <c r="F13" s="19">
        <f t="shared" si="0"/>
        <v>208.22000000000003</v>
      </c>
      <c r="G13" s="21">
        <f t="shared" si="1"/>
        <v>69.40666666666668</v>
      </c>
      <c r="I13" s="24" t="s">
        <v>12</v>
      </c>
      <c r="J13" s="24">
        <f>(F14^2)/27</f>
        <v>143009.78889259259</v>
      </c>
      <c r="K13" s="17"/>
      <c r="L13" s="17"/>
      <c r="M13" s="17"/>
      <c r="N13" s="17"/>
      <c r="O13" s="17"/>
      <c r="P13" s="17"/>
      <c r="R13" s="40" t="s">
        <v>59</v>
      </c>
      <c r="S13" s="40" t="s">
        <v>60</v>
      </c>
      <c r="U13" s="33" t="s">
        <v>37</v>
      </c>
      <c r="V13" s="66" t="s">
        <v>60</v>
      </c>
      <c r="W13" s="39" t="s">
        <v>60</v>
      </c>
      <c r="X13" s="37" t="s">
        <v>60</v>
      </c>
      <c r="Y13" s="17"/>
      <c r="Z13" s="17"/>
      <c r="AA13" s="17"/>
      <c r="AC13" s="1"/>
      <c r="AD13" s="1"/>
      <c r="AE13" s="1"/>
      <c r="AF13" s="1"/>
    </row>
    <row r="14" spans="2:32" x14ac:dyDescent="0.25">
      <c r="B14" s="19" t="s">
        <v>18</v>
      </c>
      <c r="C14" s="19">
        <f>SUM(C5:C13)</f>
        <v>677.9</v>
      </c>
      <c r="D14" s="19">
        <f>SUM(D5:D13)</f>
        <v>652.21</v>
      </c>
      <c r="E14" s="19">
        <f>SUM(E5:E13)</f>
        <v>634.9</v>
      </c>
      <c r="F14" s="19">
        <f>SUM(F5:F13)</f>
        <v>1965.01</v>
      </c>
      <c r="G14" s="2"/>
      <c r="I14" s="17"/>
      <c r="J14" s="17"/>
      <c r="K14" s="17"/>
      <c r="L14" s="17"/>
      <c r="M14" s="17"/>
      <c r="N14" s="17"/>
      <c r="O14" s="17"/>
      <c r="P14" s="17"/>
      <c r="R14" s="137"/>
      <c r="S14" s="137"/>
      <c r="U14" s="136"/>
      <c r="V14" s="137"/>
      <c r="W14" s="137"/>
      <c r="X14" s="137"/>
      <c r="Y14" s="136"/>
      <c r="Z14" s="17"/>
      <c r="AA14" s="17"/>
    </row>
    <row r="15" spans="2:32" x14ac:dyDescent="0.25">
      <c r="I15" s="125" t="s">
        <v>27</v>
      </c>
      <c r="J15" s="125"/>
      <c r="K15" s="17"/>
      <c r="L15" s="17"/>
      <c r="M15" s="17"/>
      <c r="N15" s="17"/>
      <c r="O15" s="17"/>
      <c r="P15" s="17"/>
      <c r="R15" s="136"/>
      <c r="S15" s="136"/>
      <c r="X15" s="17"/>
      <c r="Y15" s="17"/>
      <c r="Z15" s="17"/>
      <c r="AA15" s="17"/>
    </row>
    <row r="16" spans="2:32" x14ac:dyDescent="0.25">
      <c r="I16" s="18" t="s">
        <v>13</v>
      </c>
      <c r="J16" s="18" t="s">
        <v>14</v>
      </c>
      <c r="K16" s="18" t="s">
        <v>15</v>
      </c>
      <c r="L16" s="18" t="s">
        <v>16</v>
      </c>
      <c r="M16" s="18" t="s">
        <v>32</v>
      </c>
      <c r="N16" s="18"/>
      <c r="O16" s="18" t="s">
        <v>33</v>
      </c>
      <c r="P16" s="18" t="s">
        <v>34</v>
      </c>
      <c r="R16" s="137"/>
      <c r="S16" s="137"/>
      <c r="X16" s="136"/>
      <c r="Y16" s="136"/>
      <c r="Z16" s="136"/>
      <c r="AA16" s="17"/>
    </row>
    <row r="17" spans="9:27" x14ac:dyDescent="0.25">
      <c r="I17" s="18" t="s">
        <v>28</v>
      </c>
      <c r="J17" s="18">
        <v>2</v>
      </c>
      <c r="K17" s="76">
        <f>SUMSQ(C14:E14)/9-J13</f>
        <v>104.02267407407635</v>
      </c>
      <c r="L17" s="76">
        <f t="shared" ref="L17:L22" si="2">K17/J17</f>
        <v>52.011337037038174</v>
      </c>
      <c r="M17" s="77">
        <f>L17/L22</f>
        <v>1.9581792567764793</v>
      </c>
      <c r="N17" s="18" t="str">
        <f>IF(M17&lt;O17,"tn",IF(M17&lt;P17,"*","**"))</f>
        <v>tn</v>
      </c>
      <c r="O17" s="76">
        <f>FINV(0.05,J17,J22)</f>
        <v>3.6337234675916301</v>
      </c>
      <c r="P17" s="76">
        <f>FINV(0.01,J17,J22)</f>
        <v>6.2262352803113821</v>
      </c>
      <c r="X17" s="26"/>
      <c r="Y17" s="26"/>
      <c r="Z17" s="26"/>
      <c r="AA17" s="17"/>
    </row>
    <row r="18" spans="9:27" x14ac:dyDescent="0.25">
      <c r="I18" s="18" t="s">
        <v>29</v>
      </c>
      <c r="J18" s="18">
        <v>8</v>
      </c>
      <c r="K18" s="76">
        <f>SUMSQ(F5:F13)/3-J13</f>
        <v>271.97000740739168</v>
      </c>
      <c r="L18" s="76">
        <f t="shared" si="2"/>
        <v>33.99625092592396</v>
      </c>
      <c r="M18" s="77">
        <f>L18/L22</f>
        <v>1.2799277458279199</v>
      </c>
      <c r="N18" s="18" t="str">
        <f>IF(M18&lt;O18,"tn",IF(M18&lt;P18,"*","**"))</f>
        <v>tn</v>
      </c>
      <c r="O18" s="76">
        <f>FINV(0.05,J18,J22)</f>
        <v>2.5910961798744014</v>
      </c>
      <c r="P18" s="76">
        <f>FINV(0.01,J18,J22)</f>
        <v>3.8895721399261927</v>
      </c>
      <c r="X18" s="26"/>
      <c r="Y18" s="26"/>
      <c r="Z18" s="26"/>
      <c r="AA18" s="17"/>
    </row>
    <row r="19" spans="9:27" x14ac:dyDescent="0.25">
      <c r="I19" s="18" t="s">
        <v>30</v>
      </c>
      <c r="J19" s="18">
        <v>2</v>
      </c>
      <c r="K19" s="76">
        <f>SUMSQ(M8:M10)/9-J13</f>
        <v>3.0540740740834735</v>
      </c>
      <c r="L19" s="76">
        <f t="shared" si="2"/>
        <v>1.5270370370417368</v>
      </c>
      <c r="M19" s="77">
        <f>L19/L22</f>
        <v>5.7491547431960131E-2</v>
      </c>
      <c r="N19" s="18" t="str">
        <f>IF(M19&lt;O19,"tn",IF(M19&lt;P19,"*","**"))</f>
        <v>tn</v>
      </c>
      <c r="O19" s="76">
        <f>FINV(0.05,J19,J22)</f>
        <v>3.6337234675916301</v>
      </c>
      <c r="P19" s="76">
        <f>FINV(0.01,J19,J22)</f>
        <v>6.2262352803113821</v>
      </c>
      <c r="X19" s="137"/>
      <c r="Y19" s="137"/>
      <c r="Z19" s="137"/>
      <c r="AA19" s="17"/>
    </row>
    <row r="20" spans="9:27" x14ac:dyDescent="0.25">
      <c r="I20" s="18" t="s">
        <v>31</v>
      </c>
      <c r="J20" s="18">
        <v>2</v>
      </c>
      <c r="K20" s="76">
        <f>SUMSQ(J11:L11)/9-J13</f>
        <v>24.869785185204819</v>
      </c>
      <c r="L20" s="76">
        <f t="shared" si="2"/>
        <v>12.434892592602409</v>
      </c>
      <c r="M20" s="77">
        <f>L20/L22</f>
        <v>0.46816233002696422</v>
      </c>
      <c r="N20" s="18" t="str">
        <f>IF(M20&lt;O20,"tn",IF(M20&lt;P20,"*","**"))</f>
        <v>tn</v>
      </c>
      <c r="O20" s="76">
        <f>FINV(0.05,J20,J22)</f>
        <v>3.6337234675916301</v>
      </c>
      <c r="P20" s="76">
        <f>FINV(0.01,J20,J22)</f>
        <v>6.2262352803113821</v>
      </c>
      <c r="X20" s="136"/>
      <c r="Y20" s="136"/>
      <c r="Z20" s="136"/>
      <c r="AA20" s="17"/>
    </row>
    <row r="21" spans="9:27" x14ac:dyDescent="0.25">
      <c r="I21" s="18" t="s">
        <v>35</v>
      </c>
      <c r="J21" s="18">
        <v>4</v>
      </c>
      <c r="K21" s="76">
        <f>K18-K19-K20</f>
        <v>244.04614814810338</v>
      </c>
      <c r="L21" s="76">
        <f t="shared" si="2"/>
        <v>61.011537037025846</v>
      </c>
      <c r="M21" s="77">
        <f>L21/L22</f>
        <v>2.2970285529263776</v>
      </c>
      <c r="N21" s="18" t="str">
        <f>IF(M21&lt;O21,"tn",IF(M21&lt;P21,"*","**"))</f>
        <v>tn</v>
      </c>
      <c r="O21" s="76">
        <f>FINV(0.05,J21,J22)</f>
        <v>3.0069172799243447</v>
      </c>
      <c r="P21" s="76">
        <f>FINV(0.01,J21,J22)</f>
        <v>4.772577999723211</v>
      </c>
      <c r="X21" s="137"/>
      <c r="Y21" s="137"/>
      <c r="Z21" s="137"/>
      <c r="AA21" s="17"/>
    </row>
    <row r="22" spans="9:27" x14ac:dyDescent="0.25">
      <c r="I22" s="18" t="s">
        <v>17</v>
      </c>
      <c r="J22" s="18">
        <v>16</v>
      </c>
      <c r="K22" s="76">
        <f>K23-K17-K18</f>
        <v>424.97712592591415</v>
      </c>
      <c r="L22" s="76">
        <f t="shared" si="2"/>
        <v>26.561070370369634</v>
      </c>
      <c r="M22" s="78"/>
      <c r="N22" s="78"/>
      <c r="O22" s="78"/>
      <c r="P22" s="78"/>
      <c r="X22" s="26"/>
      <c r="Y22" s="26"/>
      <c r="Z22" s="26"/>
      <c r="AA22" s="17"/>
    </row>
    <row r="23" spans="9:27" x14ac:dyDescent="0.25">
      <c r="I23" s="18" t="s">
        <v>18</v>
      </c>
      <c r="J23" s="18">
        <v>26</v>
      </c>
      <c r="K23" s="76">
        <f>SUMSQ(C5:E13)-J13</f>
        <v>800.96980740738218</v>
      </c>
      <c r="L23" s="78"/>
      <c r="M23" s="78"/>
      <c r="N23" s="78"/>
      <c r="O23" s="78"/>
      <c r="P23" s="78"/>
      <c r="X23" s="137"/>
      <c r="Y23" s="137"/>
      <c r="Z23" s="137"/>
      <c r="AA23" s="17"/>
    </row>
    <row r="24" spans="9:27" x14ac:dyDescent="0.25">
      <c r="W24" s="17"/>
      <c r="X24" s="17"/>
      <c r="Y24" s="17"/>
      <c r="Z24" s="17"/>
      <c r="AA24" s="17"/>
    </row>
    <row r="25" spans="9:27" x14ac:dyDescent="0.25">
      <c r="I25" s="17"/>
    </row>
    <row r="28" spans="9:27" x14ac:dyDescent="0.25">
      <c r="W28" s="26"/>
    </row>
    <row r="29" spans="9:27" x14ac:dyDescent="0.25">
      <c r="W29" s="26"/>
    </row>
    <row r="30" spans="9:27" x14ac:dyDescent="0.25">
      <c r="W30" s="26"/>
    </row>
    <row r="31" spans="9:27" x14ac:dyDescent="0.25">
      <c r="W31" s="26"/>
    </row>
    <row r="32" spans="9:27" x14ac:dyDescent="0.25">
      <c r="W32" s="26"/>
    </row>
    <row r="33" spans="23:23" x14ac:dyDescent="0.25">
      <c r="W33" s="26"/>
    </row>
    <row r="34" spans="23:23" x14ac:dyDescent="0.25">
      <c r="W34" s="26"/>
    </row>
    <row r="35" spans="23:23" x14ac:dyDescent="0.25">
      <c r="W35" s="26"/>
    </row>
    <row r="36" spans="23:23" x14ac:dyDescent="0.25">
      <c r="W36" s="38"/>
    </row>
  </sheetData>
  <mergeCells count="10">
    <mergeCell ref="I6:I7"/>
    <mergeCell ref="J6:L6"/>
    <mergeCell ref="M6:M7"/>
    <mergeCell ref="N6:N7"/>
    <mergeCell ref="I15:J15"/>
    <mergeCell ref="B3:B4"/>
    <mergeCell ref="C3:E3"/>
    <mergeCell ref="F3:F4"/>
    <mergeCell ref="G3:G4"/>
    <mergeCell ref="I5:J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5E0A3-2899-442E-9A84-C0E3D7D1DCC8}">
  <dimension ref="B1:Z35"/>
  <sheetViews>
    <sheetView topLeftCell="E13" workbookViewId="0">
      <selection activeCell="V28" sqref="V28"/>
    </sheetView>
  </sheetViews>
  <sheetFormatPr defaultRowHeight="15" x14ac:dyDescent="0.25"/>
  <cols>
    <col min="2" max="2" width="9.5703125" customWidth="1"/>
    <col min="8" max="8" width="3.28515625" customWidth="1"/>
    <col min="9" max="9" width="9.85546875" customWidth="1"/>
    <col min="14" max="14" width="10.7109375" customWidth="1"/>
    <col min="17" max="17" width="9.140625" customWidth="1"/>
    <col min="18" max="18" width="11" customWidth="1"/>
    <col min="19" max="19" width="11.28515625" customWidth="1"/>
    <col min="20" max="20" width="6.42578125" customWidth="1"/>
    <col min="21" max="21" width="9.140625" customWidth="1"/>
    <col min="25" max="25" width="7.42578125" customWidth="1"/>
  </cols>
  <sheetData>
    <row r="1" spans="2:25" x14ac:dyDescent="0.25">
      <c r="B1" s="45" t="s">
        <v>71</v>
      </c>
    </row>
    <row r="2" spans="2:25" x14ac:dyDescent="0.25">
      <c r="B2" s="126" t="s">
        <v>47</v>
      </c>
      <c r="C2" s="127" t="s">
        <v>48</v>
      </c>
      <c r="D2" s="127"/>
      <c r="E2" s="127"/>
      <c r="F2" s="126" t="s">
        <v>49</v>
      </c>
      <c r="G2" s="126" t="s">
        <v>50</v>
      </c>
    </row>
    <row r="3" spans="2:25" x14ac:dyDescent="0.25">
      <c r="B3" s="126"/>
      <c r="C3" s="18" t="s">
        <v>2</v>
      </c>
      <c r="D3" s="18" t="s">
        <v>3</v>
      </c>
      <c r="E3" s="18" t="s">
        <v>4</v>
      </c>
      <c r="F3" s="126"/>
      <c r="G3" s="126"/>
    </row>
    <row r="4" spans="2:25" x14ac:dyDescent="0.25">
      <c r="B4" s="19" t="s">
        <v>38</v>
      </c>
      <c r="C4" s="19">
        <v>2.65</v>
      </c>
      <c r="D4" s="19">
        <v>2.8</v>
      </c>
      <c r="E4" s="19">
        <v>2.75</v>
      </c>
      <c r="F4" s="19">
        <f>SUM(C4:E4)</f>
        <v>8.1999999999999993</v>
      </c>
      <c r="G4" s="21">
        <f>F4/3</f>
        <v>2.7333333333333329</v>
      </c>
      <c r="I4" s="128" t="s">
        <v>52</v>
      </c>
      <c r="J4" s="128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</row>
    <row r="5" spans="2:25" x14ac:dyDescent="0.25">
      <c r="B5" s="19" t="s">
        <v>40</v>
      </c>
      <c r="C5" s="19">
        <v>3.13</v>
      </c>
      <c r="D5" s="19">
        <v>2.77</v>
      </c>
      <c r="E5" s="19">
        <v>8.7100000000000009</v>
      </c>
      <c r="F5" s="19">
        <f t="shared" ref="F5:F12" si="0">SUM(C5:E5)</f>
        <v>14.610000000000001</v>
      </c>
      <c r="G5" s="21">
        <f t="shared" ref="G5:G12" si="1">F5/3</f>
        <v>4.87</v>
      </c>
      <c r="I5" s="126" t="s">
        <v>30</v>
      </c>
      <c r="J5" s="127" t="s">
        <v>31</v>
      </c>
      <c r="K5" s="127"/>
      <c r="L5" s="127"/>
      <c r="M5" s="126" t="s">
        <v>51</v>
      </c>
      <c r="N5" s="126" t="s">
        <v>50</v>
      </c>
      <c r="O5" s="17"/>
      <c r="P5" s="17"/>
      <c r="Q5" s="17"/>
      <c r="R5" s="138"/>
      <c r="S5" s="138"/>
      <c r="T5" s="17"/>
      <c r="U5" s="17"/>
      <c r="V5" s="17"/>
      <c r="W5" s="17"/>
      <c r="X5" s="17"/>
      <c r="Y5" s="17"/>
    </row>
    <row r="6" spans="2:25" x14ac:dyDescent="0.25">
      <c r="B6" s="19" t="s">
        <v>43</v>
      </c>
      <c r="C6" s="19">
        <v>3.98</v>
      </c>
      <c r="D6" s="19">
        <v>5.5</v>
      </c>
      <c r="E6" s="19">
        <v>1.79</v>
      </c>
      <c r="F6" s="19">
        <f t="shared" si="0"/>
        <v>11.27</v>
      </c>
      <c r="G6" s="21">
        <f t="shared" si="1"/>
        <v>3.7566666666666664</v>
      </c>
      <c r="I6" s="126"/>
      <c r="J6" s="19" t="s">
        <v>21</v>
      </c>
      <c r="K6" s="19" t="s">
        <v>22</v>
      </c>
      <c r="L6" s="19" t="s">
        <v>23</v>
      </c>
      <c r="M6" s="126"/>
      <c r="N6" s="126"/>
      <c r="O6" s="17"/>
      <c r="P6" s="17"/>
      <c r="Q6" s="17"/>
      <c r="R6" s="17"/>
      <c r="S6" s="26"/>
      <c r="T6" s="17"/>
      <c r="U6" s="17"/>
      <c r="V6" s="17"/>
      <c r="W6" s="17"/>
      <c r="X6" s="17"/>
      <c r="Y6" s="17"/>
    </row>
    <row r="7" spans="2:25" x14ac:dyDescent="0.25">
      <c r="B7" s="19" t="s">
        <v>6</v>
      </c>
      <c r="C7" s="19">
        <v>4.99</v>
      </c>
      <c r="D7" s="19">
        <v>6.22</v>
      </c>
      <c r="E7" s="19">
        <v>3.79</v>
      </c>
      <c r="F7" s="19">
        <f t="shared" si="0"/>
        <v>15</v>
      </c>
      <c r="G7" s="21">
        <f t="shared" si="1"/>
        <v>5</v>
      </c>
      <c r="I7" s="19" t="s">
        <v>41</v>
      </c>
      <c r="J7" s="19">
        <f>F4</f>
        <v>8.1999999999999993</v>
      </c>
      <c r="K7" s="19">
        <f>F5</f>
        <v>14.610000000000001</v>
      </c>
      <c r="L7" s="19">
        <f>F6</f>
        <v>11.27</v>
      </c>
      <c r="M7" s="19">
        <f>SUM(J7:L7)</f>
        <v>34.08</v>
      </c>
      <c r="N7" s="21">
        <f>AVERAGE(J7:L7)/3</f>
        <v>3.7866666666666666</v>
      </c>
      <c r="O7" s="17"/>
      <c r="P7" s="17"/>
      <c r="Q7" s="17"/>
      <c r="R7" s="17"/>
      <c r="S7" s="26"/>
      <c r="T7" s="17"/>
      <c r="U7" s="17"/>
      <c r="V7" s="17"/>
      <c r="W7" s="17"/>
      <c r="X7" s="17"/>
      <c r="Y7" s="17"/>
    </row>
    <row r="8" spans="2:25" x14ac:dyDescent="0.25">
      <c r="B8" s="19" t="s">
        <v>7</v>
      </c>
      <c r="C8" s="19">
        <v>3.69</v>
      </c>
      <c r="D8" s="19">
        <v>5.23</v>
      </c>
      <c r="E8" s="19">
        <v>2.75</v>
      </c>
      <c r="F8" s="19">
        <f t="shared" si="0"/>
        <v>11.67</v>
      </c>
      <c r="G8" s="21">
        <f t="shared" si="1"/>
        <v>3.89</v>
      </c>
      <c r="I8" s="19" t="s">
        <v>24</v>
      </c>
      <c r="J8" s="19">
        <f>F7</f>
        <v>15</v>
      </c>
      <c r="K8" s="19">
        <f>F8</f>
        <v>11.67</v>
      </c>
      <c r="L8" s="19">
        <f>F9</f>
        <v>10.35</v>
      </c>
      <c r="M8" s="19">
        <f>SUM(J8:L8)</f>
        <v>37.020000000000003</v>
      </c>
      <c r="N8" s="21">
        <f>AVERAGE(J8:L8)/3</f>
        <v>4.1133333333333342</v>
      </c>
      <c r="O8" s="17"/>
      <c r="P8" s="17"/>
      <c r="Q8" s="17"/>
      <c r="R8" s="17"/>
      <c r="S8" s="26"/>
      <c r="T8" s="17"/>
      <c r="U8" s="17"/>
      <c r="V8" s="17"/>
      <c r="W8" s="17"/>
      <c r="X8" s="17"/>
      <c r="Y8" s="17"/>
    </row>
    <row r="9" spans="2:25" x14ac:dyDescent="0.25">
      <c r="B9" s="19" t="s">
        <v>8</v>
      </c>
      <c r="C9" s="19">
        <v>5.66</v>
      </c>
      <c r="D9" s="19">
        <v>2.92</v>
      </c>
      <c r="E9" s="19">
        <v>1.77</v>
      </c>
      <c r="F9" s="19">
        <f t="shared" si="0"/>
        <v>10.35</v>
      </c>
      <c r="G9" s="21">
        <f t="shared" si="1"/>
        <v>3.4499999999999997</v>
      </c>
      <c r="I9" s="19" t="s">
        <v>25</v>
      </c>
      <c r="J9" s="19">
        <f>F10</f>
        <v>11.54</v>
      </c>
      <c r="K9" s="19">
        <f>F11</f>
        <v>10.69</v>
      </c>
      <c r="L9" s="19">
        <f>F12</f>
        <v>12.469999999999999</v>
      </c>
      <c r="M9" s="19">
        <f>SUM(J9:L9)</f>
        <v>34.699999999999996</v>
      </c>
      <c r="N9" s="21">
        <f>AVERAGE(J9:L9)/3</f>
        <v>3.8555555555555547</v>
      </c>
      <c r="O9" s="17"/>
      <c r="P9" s="17"/>
      <c r="Q9" s="17"/>
      <c r="R9" s="17"/>
      <c r="S9" s="26"/>
      <c r="T9" s="17"/>
      <c r="U9" s="17"/>
      <c r="V9" s="17"/>
      <c r="W9" s="17"/>
      <c r="X9" s="17"/>
      <c r="Y9" s="17"/>
    </row>
    <row r="10" spans="2:25" x14ac:dyDescent="0.25">
      <c r="B10" s="19" t="s">
        <v>9</v>
      </c>
      <c r="C10" s="19">
        <v>3.93</v>
      </c>
      <c r="D10" s="19">
        <v>4.1500000000000004</v>
      </c>
      <c r="E10" s="19">
        <v>3.46</v>
      </c>
      <c r="F10" s="19">
        <f t="shared" si="0"/>
        <v>11.54</v>
      </c>
      <c r="G10" s="21">
        <f t="shared" si="1"/>
        <v>3.8466666666666662</v>
      </c>
      <c r="I10" s="19" t="s">
        <v>51</v>
      </c>
      <c r="J10" s="19">
        <f>SUM(J7:J9)</f>
        <v>34.739999999999995</v>
      </c>
      <c r="K10" s="19">
        <f>SUM(K7:K9)</f>
        <v>36.97</v>
      </c>
      <c r="L10" s="19">
        <f>SUM(L7:L9)</f>
        <v>34.089999999999996</v>
      </c>
      <c r="M10" s="79">
        <f>SUM(M7:M9)</f>
        <v>105.79999999999998</v>
      </c>
      <c r="N10" s="23"/>
      <c r="O10" s="17"/>
      <c r="P10" s="17"/>
      <c r="Q10" s="17"/>
      <c r="R10" s="17"/>
      <c r="S10" s="26"/>
      <c r="T10" s="17"/>
      <c r="U10" s="17"/>
      <c r="V10" s="17"/>
      <c r="W10" s="17"/>
      <c r="X10" s="17"/>
      <c r="Y10" s="17"/>
    </row>
    <row r="11" spans="2:25" x14ac:dyDescent="0.25">
      <c r="B11" s="19" t="s">
        <v>10</v>
      </c>
      <c r="C11" s="19">
        <v>6.74</v>
      </c>
      <c r="D11" s="19">
        <v>1.68</v>
      </c>
      <c r="E11" s="19">
        <v>2.27</v>
      </c>
      <c r="F11" s="19">
        <f t="shared" si="0"/>
        <v>10.69</v>
      </c>
      <c r="G11" s="21">
        <f t="shared" si="1"/>
        <v>3.563333333333333</v>
      </c>
      <c r="I11" s="19" t="s">
        <v>50</v>
      </c>
      <c r="J11" s="21">
        <f>AVERAGE(J7:J9)/3</f>
        <v>3.8599999999999994</v>
      </c>
      <c r="K11" s="21">
        <f>AVERAGE(K7:K9)/3</f>
        <v>4.1077777777777778</v>
      </c>
      <c r="L11" s="21">
        <f>AVERAGE(L7:L9)/3</f>
        <v>3.787777777777777</v>
      </c>
      <c r="M11" s="17"/>
      <c r="N11" s="17"/>
      <c r="O11" s="17"/>
      <c r="P11" s="17"/>
      <c r="Q11" s="17"/>
      <c r="R11" s="17"/>
      <c r="S11" s="26"/>
      <c r="T11" s="17"/>
      <c r="U11" s="17"/>
      <c r="V11" s="17"/>
      <c r="W11" s="17"/>
      <c r="X11" s="17"/>
      <c r="Y11" s="17"/>
    </row>
    <row r="12" spans="2:25" x14ac:dyDescent="0.25">
      <c r="B12" s="19" t="s">
        <v>11</v>
      </c>
      <c r="C12" s="19">
        <v>5.15</v>
      </c>
      <c r="D12" s="19">
        <v>3.12</v>
      </c>
      <c r="E12" s="19">
        <v>4.2</v>
      </c>
      <c r="F12" s="19">
        <f t="shared" si="0"/>
        <v>12.469999999999999</v>
      </c>
      <c r="G12" s="21">
        <f t="shared" si="1"/>
        <v>4.1566666666666663</v>
      </c>
      <c r="I12" s="25" t="s">
        <v>12</v>
      </c>
      <c r="J12" s="25">
        <f>(F13^2)/27</f>
        <v>414.57925925925912</v>
      </c>
      <c r="K12" s="17"/>
      <c r="L12" s="17"/>
      <c r="M12" s="17"/>
      <c r="N12" s="17"/>
      <c r="O12" s="17"/>
      <c r="P12" s="17"/>
      <c r="Q12" s="17"/>
      <c r="R12" s="17"/>
      <c r="S12" s="26"/>
      <c r="T12" s="17"/>
      <c r="U12" s="17"/>
      <c r="V12" s="17"/>
      <c r="W12" s="17"/>
      <c r="X12" s="17"/>
      <c r="Y12" s="17"/>
    </row>
    <row r="13" spans="2:25" x14ac:dyDescent="0.25">
      <c r="B13" s="19" t="s">
        <v>51</v>
      </c>
      <c r="C13" s="19">
        <f>SUM(C4:C12)</f>
        <v>39.92</v>
      </c>
      <c r="D13" s="19">
        <f>SUM(D4:D12)</f>
        <v>34.389999999999993</v>
      </c>
      <c r="E13" s="19">
        <f>SUM(E4:E12)</f>
        <v>31.49</v>
      </c>
      <c r="F13" s="19">
        <f>SUM(F4:F12)</f>
        <v>105.79999999999998</v>
      </c>
      <c r="G13" s="23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26"/>
      <c r="T13" s="17"/>
      <c r="U13" s="17"/>
      <c r="V13" s="17"/>
      <c r="W13" s="17"/>
      <c r="X13" s="17"/>
      <c r="Y13" s="17"/>
    </row>
    <row r="14" spans="2:25" x14ac:dyDescent="0.25">
      <c r="I14" s="125" t="s">
        <v>53</v>
      </c>
      <c r="J14" s="125"/>
      <c r="K14" s="17"/>
      <c r="L14" s="17"/>
      <c r="M14" s="17"/>
      <c r="N14" s="17"/>
      <c r="O14" s="17"/>
      <c r="P14" s="17"/>
      <c r="Q14" s="17"/>
      <c r="R14" s="136"/>
      <c r="S14" s="137"/>
      <c r="T14" s="17"/>
      <c r="U14" s="17"/>
      <c r="V14" s="17"/>
      <c r="W14" s="17"/>
      <c r="X14" s="17"/>
      <c r="Y14" s="17"/>
    </row>
    <row r="15" spans="2:25" x14ac:dyDescent="0.25">
      <c r="I15" s="19" t="s">
        <v>13</v>
      </c>
      <c r="J15" s="18" t="s">
        <v>14</v>
      </c>
      <c r="K15" s="18" t="s">
        <v>15</v>
      </c>
      <c r="L15" s="18" t="s">
        <v>16</v>
      </c>
      <c r="M15" s="18" t="s">
        <v>32</v>
      </c>
      <c r="N15" s="19"/>
      <c r="O15" s="18" t="s">
        <v>33</v>
      </c>
      <c r="P15" s="18" t="s">
        <v>34</v>
      </c>
      <c r="Q15" s="17"/>
      <c r="R15" s="39" t="s">
        <v>55</v>
      </c>
      <c r="S15" s="39" t="s">
        <v>114</v>
      </c>
      <c r="T15" s="17"/>
      <c r="U15" s="17"/>
      <c r="V15" s="17"/>
      <c r="W15" s="17"/>
      <c r="X15" s="17"/>
      <c r="Y15" s="17"/>
    </row>
    <row r="16" spans="2:25" x14ac:dyDescent="0.25">
      <c r="I16" s="19" t="s">
        <v>54</v>
      </c>
      <c r="J16" s="18">
        <v>2</v>
      </c>
      <c r="K16" s="76">
        <f>SUMSQ(C13:E13)/9-J12</f>
        <v>4.0761407407408115</v>
      </c>
      <c r="L16" s="76">
        <f t="shared" ref="L16:L21" si="2">K16/J16</f>
        <v>2.0380703703704057</v>
      </c>
      <c r="M16" s="76">
        <f>L16/L21</f>
        <v>0.57437338930809489</v>
      </c>
      <c r="N16" s="18" t="str">
        <f>IF(M16&lt;O16,"tn",IF(M16&lt;P16,"*","**"))</f>
        <v>tn</v>
      </c>
      <c r="O16" s="76">
        <f>FINV(0.05,J16,J21)</f>
        <v>3.6337234675916301</v>
      </c>
      <c r="P16" s="76">
        <f>FINV(0.01,J16,J21)</f>
        <v>6.2262352803113821</v>
      </c>
      <c r="Q16" s="17"/>
      <c r="R16" s="42" t="s">
        <v>41</v>
      </c>
      <c r="S16" s="43">
        <f>N7</f>
        <v>3.7866666666666666</v>
      </c>
      <c r="T16" s="17"/>
      <c r="U16" s="17"/>
      <c r="V16" s="17"/>
      <c r="W16" s="17"/>
      <c r="X16" s="17"/>
      <c r="Y16" s="17"/>
    </row>
    <row r="17" spans="9:26" x14ac:dyDescent="0.25">
      <c r="I17" s="19" t="s">
        <v>55</v>
      </c>
      <c r="J17" s="18">
        <v>8</v>
      </c>
      <c r="K17" s="76">
        <f>(SUMSQ(F4:F12)/3)-J12</f>
        <v>11.742407407407541</v>
      </c>
      <c r="L17" s="76">
        <f t="shared" si="2"/>
        <v>1.4678009259259426</v>
      </c>
      <c r="M17" s="76">
        <f>L17/L21</f>
        <v>0.41365882400832998</v>
      </c>
      <c r="N17" s="18" t="str">
        <f>IF(M17&lt;O17,"tn",IF(M17&lt;P17,"*","**"))</f>
        <v>tn</v>
      </c>
      <c r="O17" s="76">
        <f>FINV(0.05,J17,J21)</f>
        <v>2.5910961798744014</v>
      </c>
      <c r="P17" s="76">
        <f>FINV(0.01,J17,J21)</f>
        <v>3.8895721399261927</v>
      </c>
      <c r="Q17" s="17"/>
      <c r="R17" s="17" t="s">
        <v>24</v>
      </c>
      <c r="S17" s="26">
        <f>N8</f>
        <v>4.1133333333333342</v>
      </c>
      <c r="T17" s="17"/>
      <c r="U17" s="17"/>
      <c r="V17" s="17"/>
      <c r="W17" s="17"/>
      <c r="X17" s="17"/>
      <c r="Y17" s="17"/>
    </row>
    <row r="18" spans="9:26" x14ac:dyDescent="0.25">
      <c r="I18" s="19" t="s">
        <v>30</v>
      </c>
      <c r="J18" s="18">
        <v>2</v>
      </c>
      <c r="K18" s="76">
        <f>SUMSQ(M7:M9)/9-J12</f>
        <v>0.53371851851863994</v>
      </c>
      <c r="L18" s="76">
        <f t="shared" si="2"/>
        <v>0.26685925925931997</v>
      </c>
      <c r="M18" s="76">
        <f>L18/L21</f>
        <v>7.5206852244834976E-2</v>
      </c>
      <c r="N18" s="18" t="str">
        <f>IF(M18&lt;O18,"tn",IF(M18&lt;P18,"*","**"))</f>
        <v>tn</v>
      </c>
      <c r="O18" s="76">
        <f>FINV(0.05,J18,J21)</f>
        <v>3.6337234675916301</v>
      </c>
      <c r="P18" s="76">
        <f>FINV(0.01,J18,J21)</f>
        <v>6.2262352803113821</v>
      </c>
      <c r="Q18" s="17"/>
      <c r="R18" s="27" t="s">
        <v>25</v>
      </c>
      <c r="S18" s="38">
        <f>N9</f>
        <v>3.8555555555555547</v>
      </c>
      <c r="T18" s="136"/>
      <c r="U18" s="136"/>
      <c r="V18" s="17"/>
      <c r="W18" s="17"/>
      <c r="X18" s="17"/>
      <c r="Y18" s="17"/>
    </row>
    <row r="19" spans="9:26" x14ac:dyDescent="0.25">
      <c r="I19" s="19" t="s">
        <v>31</v>
      </c>
      <c r="J19" s="18">
        <v>2</v>
      </c>
      <c r="K19" s="76">
        <f>SUMSQ(J10:L10)/9-J12</f>
        <v>0.50702962962969877</v>
      </c>
      <c r="L19" s="76">
        <f t="shared" si="2"/>
        <v>0.25351481481484939</v>
      </c>
      <c r="M19" s="76">
        <f>L19/L21</f>
        <v>7.1446092118279028E-2</v>
      </c>
      <c r="N19" s="18" t="str">
        <f>IF(M19&lt;O19,"tn",IF(M19&lt;P19,"*","**"))</f>
        <v>tn</v>
      </c>
      <c r="O19" s="76">
        <f>FINV(0.05,J19,J21)</f>
        <v>3.6337234675916301</v>
      </c>
      <c r="P19" s="76">
        <f>FINV(0.01,J19,J20)</f>
        <v>17.999999999999993</v>
      </c>
      <c r="Q19" s="17"/>
      <c r="R19" s="40" t="s">
        <v>59</v>
      </c>
      <c r="S19" s="40" t="s">
        <v>60</v>
      </c>
      <c r="T19" s="26"/>
      <c r="U19" s="26"/>
      <c r="V19" s="17"/>
      <c r="W19" s="17"/>
      <c r="X19" s="17"/>
      <c r="Y19" s="17"/>
    </row>
    <row r="20" spans="9:26" x14ac:dyDescent="0.25">
      <c r="I20" s="19" t="s">
        <v>35</v>
      </c>
      <c r="J20" s="18">
        <v>4</v>
      </c>
      <c r="K20" s="76">
        <f>K17-K18-K19</f>
        <v>10.701659259259202</v>
      </c>
      <c r="L20" s="76">
        <f t="shared" si="2"/>
        <v>2.6754148148148005</v>
      </c>
      <c r="M20" s="76">
        <f>L20/L21</f>
        <v>0.753991175835103</v>
      </c>
      <c r="N20" s="18" t="str">
        <f>IF(M20&lt;O20,"tn",IF(M20&lt;P20,"*","**"))</f>
        <v>tn</v>
      </c>
      <c r="O20" s="76">
        <f>FINV(0.05,J20,J21)</f>
        <v>3.0069172799243447</v>
      </c>
      <c r="P20" s="76">
        <f>FINV(0.01,J20,J21)</f>
        <v>4.772577999723211</v>
      </c>
      <c r="Q20" s="17"/>
      <c r="R20" s="42" t="s">
        <v>21</v>
      </c>
      <c r="S20" s="43">
        <f>J11</f>
        <v>3.8599999999999994</v>
      </c>
      <c r="T20" s="26"/>
      <c r="U20" s="26"/>
      <c r="V20" s="17"/>
      <c r="W20" s="17"/>
      <c r="X20" s="17"/>
      <c r="Y20" s="17"/>
    </row>
    <row r="21" spans="9:26" x14ac:dyDescent="0.25">
      <c r="I21" s="19" t="s">
        <v>56</v>
      </c>
      <c r="J21" s="18">
        <v>16</v>
      </c>
      <c r="K21" s="76">
        <f>K22-K16-K17</f>
        <v>56.773392592592586</v>
      </c>
      <c r="L21" s="76">
        <f t="shared" si="2"/>
        <v>3.5483370370370366</v>
      </c>
      <c r="M21" s="78"/>
      <c r="N21" s="23"/>
      <c r="O21" s="78"/>
      <c r="P21" s="78"/>
      <c r="Q21" s="17"/>
      <c r="R21" s="17" t="s">
        <v>22</v>
      </c>
      <c r="S21" s="26">
        <f>K11</f>
        <v>4.1077777777777778</v>
      </c>
      <c r="T21" s="26"/>
      <c r="U21" s="26"/>
      <c r="V21" s="17"/>
      <c r="W21" s="17"/>
      <c r="X21" s="17"/>
      <c r="Y21" s="17"/>
    </row>
    <row r="22" spans="9:26" x14ac:dyDescent="0.25">
      <c r="I22" s="19" t="s">
        <v>49</v>
      </c>
      <c r="J22" s="18">
        <v>26</v>
      </c>
      <c r="K22" s="76">
        <f>SUMSQ(C4:E12)-J12</f>
        <v>72.591940740740938</v>
      </c>
      <c r="L22" s="78"/>
      <c r="M22" s="78"/>
      <c r="N22" s="23"/>
      <c r="O22" s="78"/>
      <c r="P22" s="78"/>
      <c r="Q22" s="17"/>
      <c r="R22" s="27" t="s">
        <v>23</v>
      </c>
      <c r="S22" s="38">
        <f>L11</f>
        <v>3.787777777777777</v>
      </c>
      <c r="T22" s="26"/>
      <c r="U22" s="26"/>
      <c r="V22" s="17"/>
      <c r="W22" s="17"/>
      <c r="X22" s="17"/>
      <c r="Y22" s="17"/>
    </row>
    <row r="23" spans="9:26" x14ac:dyDescent="0.25">
      <c r="I23" s="17"/>
      <c r="J23" s="17"/>
      <c r="K23" s="17"/>
      <c r="L23" s="17"/>
      <c r="M23" s="17"/>
      <c r="N23" s="17"/>
      <c r="O23" s="17"/>
      <c r="P23" s="17"/>
      <c r="Q23" s="17"/>
      <c r="R23" s="40" t="s">
        <v>59</v>
      </c>
      <c r="S23" s="40" t="s">
        <v>60</v>
      </c>
      <c r="T23" s="26"/>
      <c r="U23" s="26"/>
      <c r="V23" s="17"/>
      <c r="W23" s="17"/>
      <c r="X23" s="17"/>
      <c r="Y23" s="17"/>
    </row>
    <row r="24" spans="9:26" x14ac:dyDescent="0.25"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26"/>
      <c r="T24" s="26"/>
      <c r="U24" s="26"/>
      <c r="V24" s="17"/>
      <c r="W24" s="17"/>
      <c r="X24" s="17"/>
      <c r="Y24" s="17"/>
    </row>
    <row r="25" spans="9:26" x14ac:dyDescent="0.25"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26"/>
      <c r="T25" s="26"/>
      <c r="U25" s="26"/>
      <c r="V25" s="17"/>
      <c r="W25" s="17"/>
      <c r="X25" s="17"/>
      <c r="Y25" s="17"/>
    </row>
    <row r="26" spans="9:26" x14ac:dyDescent="0.25">
      <c r="I26" s="17"/>
      <c r="J26" s="17"/>
      <c r="K26" s="17"/>
      <c r="L26" s="17"/>
      <c r="M26" s="17"/>
      <c r="N26" s="17"/>
      <c r="O26" s="17"/>
      <c r="P26" s="17"/>
      <c r="Q26" s="17"/>
      <c r="R26" s="136"/>
      <c r="S26" s="137"/>
      <c r="T26" s="137"/>
      <c r="U26" s="137"/>
      <c r="V26" s="17"/>
      <c r="W26" s="17"/>
      <c r="X26" s="17"/>
      <c r="Y26" s="17"/>
    </row>
    <row r="27" spans="9:26" x14ac:dyDescent="0.25">
      <c r="I27" s="17"/>
      <c r="J27" s="17"/>
      <c r="K27" s="17"/>
      <c r="L27" s="17"/>
      <c r="M27" s="17"/>
      <c r="N27" s="17"/>
      <c r="O27" s="17"/>
      <c r="P27" s="17"/>
      <c r="Q27" s="17"/>
      <c r="T27" s="17"/>
      <c r="U27" s="17"/>
      <c r="V27" s="17"/>
      <c r="W27" s="17"/>
      <c r="X27" s="17"/>
      <c r="Y27" s="17"/>
    </row>
    <row r="28" spans="9:26" x14ac:dyDescent="0.25">
      <c r="I28" s="17"/>
      <c r="J28" s="17"/>
      <c r="K28" s="17"/>
      <c r="L28" s="17"/>
      <c r="M28" s="17"/>
      <c r="N28" s="17"/>
      <c r="O28" s="17"/>
      <c r="P28" s="17"/>
      <c r="Q28" s="17"/>
      <c r="T28" s="17"/>
      <c r="U28" s="137"/>
      <c r="V28" s="137"/>
      <c r="W28" s="137"/>
      <c r="X28" s="17"/>
      <c r="Y28" s="17"/>
      <c r="Z28">
        <v>3.79</v>
      </c>
    </row>
    <row r="29" spans="9:26" x14ac:dyDescent="0.25">
      <c r="I29" s="17"/>
      <c r="J29" s="17"/>
      <c r="K29" s="17"/>
      <c r="L29" s="17"/>
      <c r="M29" s="17"/>
      <c r="N29" s="17"/>
      <c r="O29" s="17"/>
      <c r="P29" s="17"/>
      <c r="Q29" s="17"/>
      <c r="T29" s="17"/>
      <c r="U29" s="26"/>
      <c r="V29" s="26"/>
      <c r="W29" s="26"/>
      <c r="X29" s="17"/>
      <c r="Y29" s="17"/>
      <c r="Z29">
        <v>4.1100000000000003</v>
      </c>
    </row>
    <row r="30" spans="9:26" x14ac:dyDescent="0.25">
      <c r="I30" s="17"/>
      <c r="J30" s="17"/>
      <c r="K30" s="17"/>
      <c r="L30" s="17"/>
      <c r="M30" s="17"/>
      <c r="N30" s="17"/>
      <c r="O30" s="17"/>
      <c r="P30" s="17"/>
      <c r="Q30" s="17"/>
      <c r="T30" s="17"/>
      <c r="U30" s="137"/>
      <c r="V30" s="137"/>
      <c r="W30" s="137"/>
      <c r="X30" s="17"/>
      <c r="Y30" s="17"/>
      <c r="Z30">
        <v>3.86</v>
      </c>
    </row>
    <row r="31" spans="9:26" x14ac:dyDescent="0.25">
      <c r="I31" s="17"/>
      <c r="J31" s="17"/>
      <c r="K31" s="17"/>
      <c r="L31" s="17"/>
      <c r="M31" s="17"/>
      <c r="N31" s="17"/>
      <c r="O31" s="17"/>
      <c r="P31" s="17"/>
      <c r="Q31" s="17"/>
      <c r="T31" s="17"/>
      <c r="U31" s="136"/>
      <c r="V31" s="136"/>
      <c r="W31" s="136"/>
      <c r="X31" s="17"/>
      <c r="Y31" s="17"/>
    </row>
    <row r="32" spans="9:26" x14ac:dyDescent="0.25">
      <c r="I32" s="17"/>
      <c r="J32" s="17"/>
      <c r="K32" s="17"/>
      <c r="L32" s="17"/>
      <c r="M32" s="17"/>
      <c r="N32" s="17"/>
      <c r="O32" s="17"/>
      <c r="P32" s="17"/>
      <c r="Q32" s="17"/>
      <c r="T32" s="17"/>
      <c r="U32" s="137"/>
      <c r="V32" s="137"/>
      <c r="W32" s="137"/>
      <c r="X32" s="17"/>
      <c r="Y32" s="17"/>
      <c r="Z32">
        <v>3.86</v>
      </c>
    </row>
    <row r="33" spans="9:26" x14ac:dyDescent="0.25">
      <c r="I33" s="17"/>
      <c r="J33" s="17"/>
      <c r="K33" s="17"/>
      <c r="L33" s="17"/>
      <c r="M33" s="17"/>
      <c r="N33" s="17"/>
      <c r="O33" s="17"/>
      <c r="P33" s="17"/>
      <c r="Q33" s="17"/>
      <c r="T33" s="17"/>
      <c r="U33" s="26"/>
      <c r="V33" s="26"/>
      <c r="W33" s="26"/>
      <c r="X33" s="17"/>
      <c r="Y33" s="17"/>
      <c r="Z33">
        <v>4.1100000000000003</v>
      </c>
    </row>
    <row r="34" spans="9:26" x14ac:dyDescent="0.25">
      <c r="I34" s="17"/>
      <c r="J34" s="17"/>
      <c r="K34" s="17"/>
      <c r="L34" s="17"/>
      <c r="M34" s="17"/>
      <c r="N34" s="17"/>
      <c r="O34" s="17"/>
      <c r="P34" s="17"/>
      <c r="Q34" s="17"/>
      <c r="T34" s="17"/>
      <c r="U34" s="137"/>
      <c r="V34" s="137"/>
      <c r="W34" s="137"/>
      <c r="X34" s="17"/>
      <c r="Y34" s="17"/>
      <c r="Z34">
        <v>3.79</v>
      </c>
    </row>
    <row r="35" spans="9:26" x14ac:dyDescent="0.25">
      <c r="I35" s="17"/>
      <c r="J35" s="17"/>
      <c r="K35" s="17"/>
      <c r="L35" s="17"/>
      <c r="M35" s="17"/>
      <c r="N35" s="17"/>
      <c r="O35" s="17"/>
      <c r="P35" s="17"/>
      <c r="Q35" s="17"/>
      <c r="T35" s="17"/>
      <c r="U35" s="17"/>
      <c r="V35" s="17"/>
      <c r="W35" s="17"/>
      <c r="X35" s="17"/>
      <c r="Y35" s="17"/>
    </row>
  </sheetData>
  <mergeCells count="10">
    <mergeCell ref="B2:B3"/>
    <mergeCell ref="C2:E2"/>
    <mergeCell ref="F2:F3"/>
    <mergeCell ref="G2:G3"/>
    <mergeCell ref="I4:J4"/>
    <mergeCell ref="M5:M6"/>
    <mergeCell ref="N5:N6"/>
    <mergeCell ref="J5:L5"/>
    <mergeCell ref="I14:J14"/>
    <mergeCell ref="I5:I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286A0-E245-4403-A1F1-FCFBD813B6D1}">
  <dimension ref="A2:R34"/>
  <sheetViews>
    <sheetView tabSelected="1" topLeftCell="A9" zoomScale="80" zoomScaleNormal="80" workbookViewId="0">
      <selection activeCell="Q18" sqref="Q18"/>
    </sheetView>
  </sheetViews>
  <sheetFormatPr defaultRowHeight="15" x14ac:dyDescent="0.25"/>
  <cols>
    <col min="1" max="1" width="7.140625" customWidth="1"/>
    <col min="2" max="2" width="10.140625" customWidth="1"/>
    <col min="7" max="7" width="8.7109375" customWidth="1"/>
    <col min="11" max="11" width="10.42578125" customWidth="1"/>
    <col min="14" max="14" width="12" customWidth="1"/>
    <col min="15" max="15" width="8" customWidth="1"/>
    <col min="16" max="16" width="8.5703125" customWidth="1"/>
    <col min="17" max="17" width="10" customWidth="1"/>
    <col min="18" max="18" width="15.42578125" customWidth="1"/>
    <col min="21" max="21" width="5.42578125" customWidth="1"/>
  </cols>
  <sheetData>
    <row r="2" spans="1:14" x14ac:dyDescent="0.25">
      <c r="A2" s="130" t="s">
        <v>65</v>
      </c>
    </row>
    <row r="3" spans="1:14" x14ac:dyDescent="0.25">
      <c r="A3" s="130"/>
    </row>
    <row r="4" spans="1:14" x14ac:dyDescent="0.25">
      <c r="B4" s="117"/>
      <c r="C4" s="118" t="s">
        <v>48</v>
      </c>
      <c r="D4" s="118"/>
      <c r="E4" s="118"/>
      <c r="F4" s="117" t="s">
        <v>51</v>
      </c>
      <c r="G4" s="117" t="s">
        <v>50</v>
      </c>
      <c r="I4" s="106" t="s">
        <v>66</v>
      </c>
      <c r="J4" s="106"/>
    </row>
    <row r="5" spans="1:14" x14ac:dyDescent="0.25">
      <c r="B5" s="117"/>
      <c r="C5" s="10" t="s">
        <v>2</v>
      </c>
      <c r="D5" s="10" t="s">
        <v>3</v>
      </c>
      <c r="E5" s="10" t="s">
        <v>4</v>
      </c>
      <c r="F5" s="117"/>
      <c r="G5" s="117"/>
      <c r="I5" s="117" t="s">
        <v>30</v>
      </c>
      <c r="J5" s="118" t="s">
        <v>31</v>
      </c>
      <c r="K5" s="118"/>
      <c r="L5" s="118"/>
      <c r="M5" s="117" t="s">
        <v>49</v>
      </c>
      <c r="N5" s="131" t="s">
        <v>50</v>
      </c>
    </row>
    <row r="6" spans="1:14" x14ac:dyDescent="0.25">
      <c r="B6" s="2" t="s">
        <v>38</v>
      </c>
      <c r="C6" s="10">
        <v>8.73</v>
      </c>
      <c r="D6" s="10">
        <v>10.37</v>
      </c>
      <c r="E6" s="10">
        <v>8.6199999999999992</v>
      </c>
      <c r="F6" s="10">
        <f>SUM(C6:E6)</f>
        <v>27.72</v>
      </c>
      <c r="G6" s="10">
        <f>F6/3</f>
        <v>9.24</v>
      </c>
      <c r="I6" s="117"/>
      <c r="J6" s="2" t="s">
        <v>21</v>
      </c>
      <c r="K6" s="2" t="s">
        <v>22</v>
      </c>
      <c r="L6" s="2" t="s">
        <v>23</v>
      </c>
      <c r="M6" s="117"/>
      <c r="N6" s="131"/>
    </row>
    <row r="7" spans="1:14" x14ac:dyDescent="0.25">
      <c r="B7" s="2" t="s">
        <v>40</v>
      </c>
      <c r="C7" s="10">
        <v>8.6300000000000008</v>
      </c>
      <c r="D7" s="10">
        <v>3.99</v>
      </c>
      <c r="E7" s="10">
        <v>3.58</v>
      </c>
      <c r="F7" s="10">
        <f t="shared" ref="F7:F14" si="0">SUM(C7:E7)</f>
        <v>16.200000000000003</v>
      </c>
      <c r="G7" s="10">
        <f t="shared" ref="G7:G14" si="1">F7/3</f>
        <v>5.4000000000000012</v>
      </c>
      <c r="I7" s="2" t="s">
        <v>41</v>
      </c>
      <c r="J7" s="2">
        <f>F6</f>
        <v>27.72</v>
      </c>
      <c r="K7" s="2">
        <f>F7</f>
        <v>16.200000000000003</v>
      </c>
      <c r="L7" s="2">
        <f>F8</f>
        <v>23.849999999999998</v>
      </c>
      <c r="M7" s="2">
        <f>SUM(J7:L7)</f>
        <v>67.77</v>
      </c>
      <c r="N7" s="81">
        <f>AVERAGE(J7:L7)/3</f>
        <v>7.53</v>
      </c>
    </row>
    <row r="8" spans="1:14" x14ac:dyDescent="0.25">
      <c r="B8" s="2" t="s">
        <v>39</v>
      </c>
      <c r="C8" s="10">
        <v>10.27</v>
      </c>
      <c r="D8" s="10">
        <v>12.95</v>
      </c>
      <c r="E8" s="10">
        <v>0.63</v>
      </c>
      <c r="F8" s="10">
        <f t="shared" si="0"/>
        <v>23.849999999999998</v>
      </c>
      <c r="G8" s="10">
        <f t="shared" si="1"/>
        <v>7.9499999999999993</v>
      </c>
      <c r="I8" s="2" t="s">
        <v>24</v>
      </c>
      <c r="J8" s="2">
        <f>F9</f>
        <v>29.369999999999997</v>
      </c>
      <c r="K8" s="2">
        <f>F10</f>
        <v>31.669999999999995</v>
      </c>
      <c r="L8" s="2">
        <f>F11</f>
        <v>22.7</v>
      </c>
      <c r="M8" s="2">
        <f>SUM(J8:L8)</f>
        <v>83.74</v>
      </c>
      <c r="N8" s="82">
        <f>AVERAGE(J8:L8)/3</f>
        <v>9.3044444444444441</v>
      </c>
    </row>
    <row r="9" spans="1:14" x14ac:dyDescent="0.25">
      <c r="B9" s="2" t="s">
        <v>6</v>
      </c>
      <c r="C9" s="10">
        <v>9.68</v>
      </c>
      <c r="D9" s="10">
        <v>11.94</v>
      </c>
      <c r="E9" s="10">
        <v>7.75</v>
      </c>
      <c r="F9" s="10">
        <f t="shared" si="0"/>
        <v>29.369999999999997</v>
      </c>
      <c r="G9" s="10">
        <f t="shared" si="1"/>
        <v>9.7899999999999991</v>
      </c>
      <c r="I9" s="2" t="s">
        <v>25</v>
      </c>
      <c r="J9" s="2">
        <f>F12</f>
        <v>28.310000000000002</v>
      </c>
      <c r="K9" s="2">
        <f>F13</f>
        <v>23.92</v>
      </c>
      <c r="L9" s="2">
        <f>F14</f>
        <v>23.64</v>
      </c>
      <c r="M9" s="2">
        <f>SUM(J9:L9)</f>
        <v>75.87</v>
      </c>
      <c r="N9" s="81">
        <f>AVERAGE(J9:L9)/3</f>
        <v>8.4300000000000015</v>
      </c>
    </row>
    <row r="10" spans="1:14" x14ac:dyDescent="0.25">
      <c r="B10" s="2" t="s">
        <v>7</v>
      </c>
      <c r="C10" s="10">
        <v>9.61</v>
      </c>
      <c r="D10" s="10">
        <v>12.69</v>
      </c>
      <c r="E10" s="10">
        <v>9.3699999999999992</v>
      </c>
      <c r="F10" s="10">
        <f t="shared" si="0"/>
        <v>31.669999999999995</v>
      </c>
      <c r="G10" s="75">
        <f t="shared" si="1"/>
        <v>10.556666666666665</v>
      </c>
      <c r="I10" s="2" t="s">
        <v>49</v>
      </c>
      <c r="J10" s="2">
        <f>SUM(J7:J9)</f>
        <v>85.4</v>
      </c>
      <c r="K10" s="2">
        <f>SUM(K7:K9)</f>
        <v>71.789999999999992</v>
      </c>
      <c r="L10" s="2">
        <f>SUM(L7:L9)</f>
        <v>70.19</v>
      </c>
      <c r="M10" s="2">
        <f>SUM(M7:M9)</f>
        <v>227.38</v>
      </c>
    </row>
    <row r="11" spans="1:14" x14ac:dyDescent="0.25">
      <c r="B11" s="2" t="s">
        <v>8</v>
      </c>
      <c r="C11" s="10">
        <v>9.24</v>
      </c>
      <c r="D11" s="10">
        <v>7.76</v>
      </c>
      <c r="E11" s="10">
        <v>5.7</v>
      </c>
      <c r="F11" s="10">
        <f t="shared" si="0"/>
        <v>22.7</v>
      </c>
      <c r="G11" s="75">
        <f t="shared" si="1"/>
        <v>7.5666666666666664</v>
      </c>
      <c r="I11" s="2" t="s">
        <v>50</v>
      </c>
      <c r="J11" s="12">
        <f>AVERAGE(J7:J9)/3</f>
        <v>9.4888888888888889</v>
      </c>
      <c r="K11" s="12">
        <f>AVERAGE(K7:K9)/3</f>
        <v>7.9766666666666657</v>
      </c>
      <c r="L11" s="12">
        <f>AVERAGE(L7:L9)/3</f>
        <v>7.7988888888888885</v>
      </c>
      <c r="M11" s="2"/>
    </row>
    <row r="12" spans="1:14" x14ac:dyDescent="0.25">
      <c r="B12" s="2" t="s">
        <v>9</v>
      </c>
      <c r="C12" s="10">
        <v>9.52</v>
      </c>
      <c r="D12" s="10">
        <v>9.8699999999999992</v>
      </c>
      <c r="E12" s="10">
        <v>8.92</v>
      </c>
      <c r="F12" s="10">
        <f t="shared" si="0"/>
        <v>28.310000000000002</v>
      </c>
      <c r="G12" s="75">
        <f t="shared" si="1"/>
        <v>9.4366666666666674</v>
      </c>
      <c r="I12" t="s">
        <v>12</v>
      </c>
      <c r="J12">
        <f>(F15^2)/27</f>
        <v>1914.8764592592581</v>
      </c>
    </row>
    <row r="13" spans="1:14" x14ac:dyDescent="0.25">
      <c r="B13" s="2" t="s">
        <v>10</v>
      </c>
      <c r="C13" s="10">
        <v>13.18</v>
      </c>
      <c r="D13" s="10">
        <v>4.9800000000000004</v>
      </c>
      <c r="E13" s="10">
        <v>5.76</v>
      </c>
      <c r="F13" s="10">
        <f t="shared" si="0"/>
        <v>23.92</v>
      </c>
      <c r="G13" s="75">
        <f t="shared" si="1"/>
        <v>7.9733333333333336</v>
      </c>
    </row>
    <row r="14" spans="1:14" x14ac:dyDescent="0.25">
      <c r="B14" s="2" t="s">
        <v>11</v>
      </c>
      <c r="C14" s="10">
        <v>10.32</v>
      </c>
      <c r="D14" s="10">
        <v>5.52</v>
      </c>
      <c r="E14" s="10">
        <v>7.8</v>
      </c>
      <c r="F14" s="10">
        <f t="shared" si="0"/>
        <v>23.64</v>
      </c>
      <c r="G14" s="10">
        <f t="shared" si="1"/>
        <v>7.88</v>
      </c>
    </row>
    <row r="15" spans="1:14" x14ac:dyDescent="0.25">
      <c r="B15" s="2" t="s">
        <v>18</v>
      </c>
      <c r="C15" s="10">
        <f>SUM(C6:C14)</f>
        <v>89.18</v>
      </c>
      <c r="D15" s="10">
        <f>SUM(D6:D14)</f>
        <v>80.069999999999993</v>
      </c>
      <c r="E15" s="10">
        <f>SUM(E6:E14)</f>
        <v>58.129999999999995</v>
      </c>
      <c r="F15" s="10">
        <f>SUM(F6:F14)</f>
        <v>227.37999999999994</v>
      </c>
      <c r="G15" s="80"/>
    </row>
    <row r="17" spans="2:18" x14ac:dyDescent="0.25">
      <c r="B17" s="106" t="s">
        <v>67</v>
      </c>
      <c r="C17" s="106"/>
      <c r="K17" s="37" t="s">
        <v>55</v>
      </c>
      <c r="L17" s="37" t="s">
        <v>65</v>
      </c>
      <c r="N17" s="133"/>
      <c r="O17" s="133"/>
      <c r="P17" s="133"/>
      <c r="Q17" s="133"/>
      <c r="R17" s="133"/>
    </row>
    <row r="18" spans="2:18" x14ac:dyDescent="0.25">
      <c r="B18" s="10" t="s">
        <v>13</v>
      </c>
      <c r="C18" s="10" t="s">
        <v>14</v>
      </c>
      <c r="D18" s="10" t="s">
        <v>15</v>
      </c>
      <c r="E18" s="10" t="s">
        <v>16</v>
      </c>
      <c r="F18" s="10" t="s">
        <v>32</v>
      </c>
      <c r="G18" s="2"/>
      <c r="H18" s="10" t="s">
        <v>33</v>
      </c>
      <c r="I18" s="10" t="s">
        <v>34</v>
      </c>
      <c r="K18" t="s">
        <v>41</v>
      </c>
      <c r="L18">
        <f>N7</f>
        <v>7.53</v>
      </c>
      <c r="N18">
        <f>L18</f>
        <v>7.53</v>
      </c>
      <c r="O18" s="14"/>
      <c r="P18" s="14"/>
    </row>
    <row r="19" spans="2:18" x14ac:dyDescent="0.25">
      <c r="B19" s="2" t="s">
        <v>28</v>
      </c>
      <c r="C19" s="10">
        <v>2</v>
      </c>
      <c r="D19" s="75">
        <f>SUMSQ(C15:E15)/9-J12</f>
        <v>56.609562962963992</v>
      </c>
      <c r="E19" s="75">
        <f t="shared" ref="E19:E24" si="2">D19/C19</f>
        <v>28.304781481481996</v>
      </c>
      <c r="F19" s="75">
        <f>E19/E24</f>
        <v>3.7757610877108769</v>
      </c>
      <c r="G19" s="10" t="str">
        <f>IF(F19&lt;H19,"tn",IF(F19&lt;I19,"*","**"))</f>
        <v>*</v>
      </c>
      <c r="H19" s="75">
        <f>FINV(0.05,C19,C24)</f>
        <v>3.6337234675916301</v>
      </c>
      <c r="I19" s="75">
        <f>FINV(0.01,C19,C24)</f>
        <v>6.2262352803113821</v>
      </c>
      <c r="K19" t="s">
        <v>24</v>
      </c>
      <c r="L19" s="14">
        <f>N8</f>
        <v>9.3044444444444441</v>
      </c>
      <c r="N19">
        <f>L20</f>
        <v>8.4300000000000015</v>
      </c>
      <c r="O19" s="14"/>
      <c r="P19" s="14"/>
    </row>
    <row r="20" spans="2:18" x14ac:dyDescent="0.25">
      <c r="B20" s="2" t="s">
        <v>29</v>
      </c>
      <c r="C20" s="10">
        <v>8</v>
      </c>
      <c r="D20" s="75">
        <f>SUMSQ(F6:F14)/3-J12</f>
        <v>56.126474074075077</v>
      </c>
      <c r="E20" s="75">
        <f t="shared" si="2"/>
        <v>7.0158092592593846</v>
      </c>
      <c r="F20" s="75">
        <f>E20/E24</f>
        <v>0.93588497113973401</v>
      </c>
      <c r="G20" s="10" t="str">
        <f>IF(F20&lt;H20,"tn",IF(F20&lt;I20,"*","**"))</f>
        <v>tn</v>
      </c>
      <c r="H20" s="75">
        <f>FINV(0.05,C20,C24)</f>
        <v>2.5910961798744014</v>
      </c>
      <c r="I20" s="75">
        <f>FINV(0.01,C20,C24)</f>
        <v>3.8895721399261927</v>
      </c>
      <c r="K20" s="31" t="s">
        <v>25</v>
      </c>
      <c r="L20" s="31">
        <f>N9</f>
        <v>8.4300000000000015</v>
      </c>
      <c r="N20" s="134">
        <f>L19</f>
        <v>9.3044444444444441</v>
      </c>
      <c r="O20" s="134"/>
      <c r="P20" s="134"/>
    </row>
    <row r="21" spans="2:18" x14ac:dyDescent="0.25">
      <c r="B21" s="2" t="s">
        <v>30</v>
      </c>
      <c r="C21" s="10">
        <v>2</v>
      </c>
      <c r="D21" s="75">
        <f>SUMSQ(M7:M9)/9-J12</f>
        <v>14.16991851851958</v>
      </c>
      <c r="E21" s="75">
        <f t="shared" si="2"/>
        <v>7.0849592592597901</v>
      </c>
      <c r="F21" s="75">
        <f>E21/E24</f>
        <v>0.94510934474556996</v>
      </c>
      <c r="G21" s="10" t="str">
        <f>IF(F21&lt;H21,"tn",IF(F21&lt;I21,"*","**"))</f>
        <v>tn</v>
      </c>
      <c r="H21" s="75">
        <f>FINV(0.05,C21,C24)</f>
        <v>3.6337234675916301</v>
      </c>
      <c r="I21" s="75">
        <f>FINV(0.01,C21,C24)</f>
        <v>6.2262352803113821</v>
      </c>
      <c r="K21" t="s">
        <v>63</v>
      </c>
      <c r="L21" t="s">
        <v>60</v>
      </c>
      <c r="N21" s="133"/>
      <c r="O21" s="133"/>
      <c r="P21" s="133"/>
      <c r="Q21" s="133"/>
      <c r="R21" s="133"/>
    </row>
    <row r="22" spans="2:18" x14ac:dyDescent="0.25">
      <c r="B22" s="2" t="s">
        <v>31</v>
      </c>
      <c r="C22" s="10">
        <v>2</v>
      </c>
      <c r="D22" s="75">
        <f>SUMSQ(J10:L10)/9-J12</f>
        <v>15.523562962964206</v>
      </c>
      <c r="E22" s="75">
        <f t="shared" si="2"/>
        <v>7.7617814814821031</v>
      </c>
      <c r="F22" s="75">
        <f>E22/E24</f>
        <v>1.0353951154248782</v>
      </c>
      <c r="G22" s="10" t="str">
        <f>IF(F22&lt;H22,"tn",IF(F22&lt;I22,"*","**"))</f>
        <v>tn</v>
      </c>
      <c r="H22" s="75">
        <f>FINV(0.05,C22,C24)</f>
        <v>3.6337234675916301</v>
      </c>
      <c r="I22" s="75">
        <f>FINV(0.01,C22,C24)</f>
        <v>6.2262352803113821</v>
      </c>
      <c r="K22" s="36" t="s">
        <v>21</v>
      </c>
      <c r="L22" s="41">
        <f>J11</f>
        <v>9.4888888888888889</v>
      </c>
      <c r="N22" s="134">
        <f>L22</f>
        <v>9.4888888888888889</v>
      </c>
      <c r="O22" s="134"/>
      <c r="P22" s="134"/>
    </row>
    <row r="23" spans="2:18" x14ac:dyDescent="0.25">
      <c r="B23" s="2" t="s">
        <v>68</v>
      </c>
      <c r="C23" s="10">
        <v>4</v>
      </c>
      <c r="D23" s="75">
        <f>D20-D21-D22</f>
        <v>26.43299259259129</v>
      </c>
      <c r="E23" s="75">
        <f t="shared" si="2"/>
        <v>6.6082481481478226</v>
      </c>
      <c r="F23" s="75">
        <f>E23/E24</f>
        <v>0.88151771219424391</v>
      </c>
      <c r="G23" s="10" t="str">
        <f>IF(F23&lt;H23,"tn",IF(F23&lt;I23,"*","**"))</f>
        <v>tn</v>
      </c>
      <c r="H23" s="75">
        <f>FINV(0.05,C23,C24)</f>
        <v>3.0069172799243447</v>
      </c>
      <c r="I23" s="75">
        <f>FINV(0.01,C23,C24)</f>
        <v>4.772577999723211</v>
      </c>
      <c r="K23" t="s">
        <v>22</v>
      </c>
      <c r="L23" s="14">
        <f>K11</f>
        <v>7.9766666666666657</v>
      </c>
      <c r="N23" s="14">
        <f>L24</f>
        <v>7.7988888888888885</v>
      </c>
      <c r="O23" s="14"/>
      <c r="P23" s="14"/>
    </row>
    <row r="24" spans="2:18" x14ac:dyDescent="0.25">
      <c r="B24" s="2" t="s">
        <v>56</v>
      </c>
      <c r="C24" s="10">
        <v>16</v>
      </c>
      <c r="D24" s="75">
        <f>D25-D19-D20</f>
        <v>119.94310370370295</v>
      </c>
      <c r="E24" s="75">
        <f t="shared" si="2"/>
        <v>7.4964439814814341</v>
      </c>
      <c r="F24" s="11"/>
      <c r="G24" s="11"/>
      <c r="H24" s="11"/>
      <c r="I24" s="11"/>
      <c r="K24" s="31" t="s">
        <v>23</v>
      </c>
      <c r="L24" s="35">
        <f>L11</f>
        <v>7.7988888888888885</v>
      </c>
      <c r="N24" s="134">
        <f>L23</f>
        <v>7.9766666666666657</v>
      </c>
      <c r="O24" s="134"/>
      <c r="P24" s="134"/>
      <c r="Q24" s="133"/>
      <c r="R24" s="133"/>
    </row>
    <row r="25" spans="2:18" x14ac:dyDescent="0.25">
      <c r="B25" s="2" t="s">
        <v>51</v>
      </c>
      <c r="C25" s="10">
        <v>26</v>
      </c>
      <c r="D25" s="75">
        <f>SUMSQ(C6:E14)-J12</f>
        <v>232.67914074074201</v>
      </c>
      <c r="E25" s="11"/>
      <c r="F25" s="11"/>
      <c r="G25" s="11"/>
      <c r="H25" s="11"/>
      <c r="I25" s="11"/>
      <c r="K25" s="31" t="s">
        <v>63</v>
      </c>
      <c r="L25" s="31" t="s">
        <v>60</v>
      </c>
    </row>
    <row r="26" spans="2:18" x14ac:dyDescent="0.25">
      <c r="L26" s="133"/>
      <c r="R26" s="134"/>
    </row>
    <row r="28" spans="2:18" x14ac:dyDescent="0.25">
      <c r="L28" s="133"/>
      <c r="M28" s="134"/>
      <c r="O28" s="106"/>
      <c r="P28" s="106"/>
      <c r="Q28" s="106"/>
      <c r="R28" s="106"/>
    </row>
    <row r="29" spans="2:18" x14ac:dyDescent="0.25">
      <c r="O29" s="129"/>
      <c r="P29" s="106"/>
      <c r="Q29" s="106"/>
      <c r="R29" s="106"/>
    </row>
    <row r="30" spans="2:18" x14ac:dyDescent="0.25">
      <c r="O30" s="129"/>
      <c r="P30" s="1"/>
      <c r="Q30" s="1"/>
      <c r="R30" s="1"/>
    </row>
    <row r="31" spans="2:18" x14ac:dyDescent="0.25">
      <c r="P31" s="1"/>
      <c r="Q31" s="1"/>
      <c r="R31" s="1"/>
    </row>
    <row r="32" spans="2:18" x14ac:dyDescent="0.25">
      <c r="P32" s="1"/>
      <c r="Q32" s="68"/>
      <c r="R32" s="68"/>
    </row>
    <row r="33" spans="15:18" x14ac:dyDescent="0.25">
      <c r="P33" s="68"/>
      <c r="Q33" s="68"/>
      <c r="R33" s="68"/>
    </row>
    <row r="34" spans="15:18" x14ac:dyDescent="0.25">
      <c r="O34" s="1"/>
      <c r="P34" s="106"/>
      <c r="Q34" s="106"/>
      <c r="R34" s="106"/>
    </row>
  </sheetData>
  <mergeCells count="15">
    <mergeCell ref="P34:R34"/>
    <mergeCell ref="O28:R28"/>
    <mergeCell ref="P29:R29"/>
    <mergeCell ref="O29:O30"/>
    <mergeCell ref="A2:A3"/>
    <mergeCell ref="I4:J4"/>
    <mergeCell ref="I5:I6"/>
    <mergeCell ref="J5:L5"/>
    <mergeCell ref="B17:C17"/>
    <mergeCell ref="F4:F5"/>
    <mergeCell ref="G4:G5"/>
    <mergeCell ref="B4:B5"/>
    <mergeCell ref="C4:E4"/>
    <mergeCell ref="M5:M6"/>
    <mergeCell ref="N5:N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VIT C</vt:lpstr>
      <vt:lpstr>Total Asam</vt:lpstr>
      <vt:lpstr>Antioksidan</vt:lpstr>
      <vt:lpstr>Kurva Antioksidan</vt:lpstr>
      <vt:lpstr>L</vt:lpstr>
      <vt:lpstr>a</vt:lpstr>
      <vt:lpstr>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2023-01-03T05:47:37Z</dcterms:created>
  <dcterms:modified xsi:type="dcterms:W3CDTF">2023-05-18T03:52:02Z</dcterms:modified>
</cp:coreProperties>
</file>